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joe/Downloads/"/>
    </mc:Choice>
  </mc:AlternateContent>
  <xr:revisionPtr revIDLastSave="0" documentId="13_ncr:1_{AB746B97-9318-DC40-A020-A0338C22FCD6}" xr6:coauthVersionLast="47" xr6:coauthVersionMax="47" xr10:uidLastSave="{00000000-0000-0000-0000-000000000000}"/>
  <bookViews>
    <workbookView xWindow="42000" yWindow="2640" windowWidth="32620" windowHeight="15480" tabRatio="686" xr2:uid="{00000000-000D-0000-FFFF-FFFF00000000}"/>
  </bookViews>
  <sheets>
    <sheet name="January" sheetId="4" r:id="rId1"/>
    <sheet name="February" sheetId="5" r:id="rId2"/>
    <sheet name="March" sheetId="17" r:id="rId3"/>
    <sheet name="April" sheetId="18" r:id="rId4"/>
    <sheet name="May" sheetId="19" r:id="rId5"/>
    <sheet name="June" sheetId="20" r:id="rId6"/>
    <sheet name="July" sheetId="21" r:id="rId7"/>
    <sheet name="August" sheetId="22" r:id="rId8"/>
    <sheet name="September" sheetId="23" r:id="rId9"/>
    <sheet name="October" sheetId="24" r:id="rId10"/>
    <sheet name="November" sheetId="25" r:id="rId11"/>
    <sheet name="December" sheetId="15" r:id="rId12"/>
    <sheet name="Employee Names" sheetId="16" r:id="rId13"/>
  </sheets>
  <definedNames>
    <definedName name="CalendarYear">January!$AH$4</definedName>
    <definedName name="ColumnTitle13">EmployeeName[[#Headers],[Employee Names]]</definedName>
    <definedName name="Employee_Absence_Title">January!$B$1</definedName>
    <definedName name="Key_name">January!$B$2</definedName>
    <definedName name="KeyCustom1">January!$N$2</definedName>
    <definedName name="KeyCustom1Label">January!$O$2</definedName>
    <definedName name="KeyCustom2">January!$R$2</definedName>
    <definedName name="KeyCustom2Label">January!$S$2</definedName>
    <definedName name="KeyHoliday">January!$C$2</definedName>
    <definedName name="KeyHolidayLabel">January!$D$2</definedName>
    <definedName name="KeyPersonal">January!$G$2</definedName>
    <definedName name="KeyPersonalLabel">January!$H$2</definedName>
    <definedName name="KeySick">January!$K$2</definedName>
    <definedName name="KeySickLabel">January!$L$2</definedName>
    <definedName name="MonthName" localSheetId="3">April!$B$4</definedName>
    <definedName name="MonthName" localSheetId="7">August!$B$4</definedName>
    <definedName name="MonthName" localSheetId="11">December!$B$4</definedName>
    <definedName name="MonthName" localSheetId="1">February!$B$4</definedName>
    <definedName name="MonthName" localSheetId="0">January!$B$4</definedName>
    <definedName name="MonthName" localSheetId="6">July!$B$4</definedName>
    <definedName name="MonthName" localSheetId="5">June!$B$4</definedName>
    <definedName name="MonthName" localSheetId="2">March!$B$4</definedName>
    <definedName name="MonthName" localSheetId="4">May!$B$4</definedName>
    <definedName name="MonthName" localSheetId="10">November!$B$4</definedName>
    <definedName name="MonthName" localSheetId="9">October!$B$4</definedName>
    <definedName name="MonthName" localSheetId="8">September!$B$4</definedName>
    <definedName name="_xlnm.Print_Titles" localSheetId="3">April!$4:$6</definedName>
    <definedName name="_xlnm.Print_Titles" localSheetId="7">August!$4:$6</definedName>
    <definedName name="_xlnm.Print_Titles" localSheetId="11">December!$4:$6</definedName>
    <definedName name="_xlnm.Print_Titles" localSheetId="1">February!$4:$6</definedName>
    <definedName name="_xlnm.Print_Titles" localSheetId="0">January!$4:$6</definedName>
    <definedName name="_xlnm.Print_Titles" localSheetId="6">July!$4:$6</definedName>
    <definedName name="_xlnm.Print_Titles" localSheetId="5">June!$4:$6</definedName>
    <definedName name="_xlnm.Print_Titles" localSheetId="2">March!$4:$6</definedName>
    <definedName name="_xlnm.Print_Titles" localSheetId="4">May!$4:$6</definedName>
    <definedName name="_xlnm.Print_Titles" localSheetId="10">November!$4:$6</definedName>
    <definedName name="_xlnm.Print_Titles" localSheetId="9">October!$4:$6</definedName>
    <definedName name="_xlnm.Print_Titles" localSheetId="8">September!$4:$6</definedName>
    <definedName name="Title1">January[[#Headers],[Employee Name]]</definedName>
    <definedName name="Title10">October[[#Headers],[Employee Name]]</definedName>
    <definedName name="Title11">November[[#Headers],[Employee Name]]</definedName>
    <definedName name="Title12">December[[#Headers],[Employee Name]]</definedName>
    <definedName name="Title2">February[[#Headers],[Employee Name]]</definedName>
    <definedName name="Title3">March[[#Headers],[Employee Name]]</definedName>
    <definedName name="Title4">April[[#Headers],[Employee Name]]</definedName>
    <definedName name="Title5">May[[#Headers],[Employee Name]]</definedName>
    <definedName name="Title6">June[[#Headers],[Employee Name]]</definedName>
    <definedName name="Title7">July[[#Headers],[Employee Name]]</definedName>
    <definedName name="Title8">August[[#Headers],[Employee Name]]</definedName>
    <definedName name="Title9">September[[#Headers],[Employee Name]]</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17" l="1"/>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C12" i="17"/>
  <c r="AG12" i="17"/>
  <c r="AH7" i="17"/>
  <c r="AH8" i="17"/>
  <c r="AH9" i="17"/>
  <c r="AH10" i="17"/>
  <c r="AH11" i="17"/>
  <c r="AH9" i="4"/>
  <c r="AH10" i="4"/>
  <c r="B12" i="23"/>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H11" i="25"/>
  <c r="AH10" i="25"/>
  <c r="AH9" i="25"/>
  <c r="AH8" i="25"/>
  <c r="AH7"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H11" i="24"/>
  <c r="AH10" i="24"/>
  <c r="AH9" i="24"/>
  <c r="AH8" i="24"/>
  <c r="AH7"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1" i="23"/>
  <c r="AH10" i="23"/>
  <c r="AH9" i="23"/>
  <c r="AH8" i="23"/>
  <c r="AH7" i="23"/>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H11" i="22"/>
  <c r="AH10" i="22"/>
  <c r="AH9" i="22"/>
  <c r="AH8" i="22"/>
  <c r="AH7"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H11" i="21"/>
  <c r="AH10" i="21"/>
  <c r="AH9" i="21"/>
  <c r="AH8" i="21"/>
  <c r="AH7"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H11" i="20"/>
  <c r="AH10" i="20"/>
  <c r="AH9" i="20"/>
  <c r="AH8" i="20"/>
  <c r="AH7"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H11" i="19"/>
  <c r="AH10" i="19"/>
  <c r="AH9" i="19"/>
  <c r="AH8" i="19"/>
  <c r="AH7"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H11" i="18"/>
  <c r="AH10" i="18"/>
  <c r="AH9" i="18"/>
  <c r="AH8" i="18"/>
  <c r="AH7"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B12" i="17"/>
  <c r="AH12" i="17"/>
  <c r="AH4" i="17"/>
  <c r="B1" i="17"/>
  <c r="B1" i="15"/>
  <c r="B1" i="5"/>
  <c r="AH12" i="21"/>
  <c r="AH12" i="23"/>
  <c r="AH12" i="18"/>
  <c r="AH12" i="22"/>
  <c r="AH12" i="25"/>
  <c r="AH12" i="20"/>
  <c r="AH12" i="19"/>
  <c r="AH12" i="24"/>
  <c r="AB5" i="5"/>
  <c r="AH4" i="5"/>
  <c r="AH4" i="15"/>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G12" i="15"/>
  <c r="AF12" i="15"/>
  <c r="AH7" i="15"/>
  <c r="AH8" i="15"/>
  <c r="AH9" i="15"/>
  <c r="AH10" i="15"/>
  <c r="AH11" i="15"/>
  <c r="AH12" i="15"/>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B12" i="15"/>
  <c r="B12" i="5"/>
  <c r="B12" i="4"/>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H11" i="5"/>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E5" i="5"/>
  <c r="AD5" i="5"/>
  <c r="AC5" i="5"/>
  <c r="AA5" i="5"/>
  <c r="Z5" i="5"/>
  <c r="Y5" i="5"/>
  <c r="X5" i="5"/>
  <c r="W5" i="5"/>
  <c r="V5" i="5"/>
  <c r="U5" i="5"/>
  <c r="T5" i="5"/>
  <c r="S5" i="5"/>
  <c r="R5" i="5"/>
  <c r="Q5" i="5"/>
  <c r="P5" i="5"/>
  <c r="O5" i="5"/>
  <c r="N5" i="5"/>
  <c r="M5" i="5"/>
  <c r="L5" i="5"/>
  <c r="K5" i="5"/>
  <c r="J5" i="5"/>
  <c r="I5" i="5"/>
  <c r="H5" i="5"/>
  <c r="G5" i="5"/>
  <c r="F5" i="5"/>
  <c r="E5" i="5"/>
  <c r="D5" i="5"/>
  <c r="C5" i="5"/>
  <c r="AH12" i="5"/>
  <c r="AH7" i="4"/>
  <c r="AH8" i="4"/>
  <c r="AH12" i="4"/>
  <c r="AE5" i="4"/>
  <c r="AA5" i="4"/>
  <c r="W5" i="4"/>
  <c r="O5" i="4"/>
  <c r="G5" i="4"/>
  <c r="AD5" i="4"/>
  <c r="Z5" i="4"/>
  <c r="R5" i="4"/>
  <c r="N5" i="4"/>
  <c r="F5" i="4"/>
  <c r="M5" i="4"/>
  <c r="AG5" i="4"/>
  <c r="AC5" i="4"/>
  <c r="Y5" i="4"/>
  <c r="S5" i="4"/>
  <c r="K5" i="4"/>
  <c r="E5" i="4"/>
  <c r="AF5" i="4"/>
  <c r="AB5" i="4"/>
  <c r="X5" i="4"/>
  <c r="T5" i="4"/>
  <c r="P5" i="4"/>
  <c r="L5" i="4"/>
  <c r="H5" i="4"/>
  <c r="D5" i="4"/>
  <c r="Q5" i="4"/>
  <c r="I5" i="4"/>
  <c r="C5" i="4"/>
  <c r="V5" i="4"/>
  <c r="J5" i="4"/>
  <c r="U5" i="4"/>
</calcChain>
</file>

<file path=xl/sharedStrings.xml><?xml version="1.0" encoding="utf-8"?>
<sst xmlns="http://schemas.openxmlformats.org/spreadsheetml/2006/main" count="643" uniqueCount="65">
  <si>
    <t>Employee Absence Schedule</t>
  </si>
  <si>
    <t>Absence Type Key</t>
  </si>
  <si>
    <t>January</t>
  </si>
  <si>
    <t>Employee Name</t>
  </si>
  <si>
    <t>Employee 1</t>
  </si>
  <si>
    <t>Employee 2</t>
  </si>
  <si>
    <t>Employee 3</t>
  </si>
  <si>
    <t>Employee 4</t>
  </si>
  <si>
    <t>Employee 5</t>
  </si>
  <si>
    <t>H</t>
  </si>
  <si>
    <t>Dates of Absence</t>
  </si>
  <si>
    <t>1</t>
  </si>
  <si>
    <t>Holiday</t>
  </si>
  <si>
    <t>2</t>
  </si>
  <si>
    <t>3</t>
  </si>
  <si>
    <t>P</t>
  </si>
  <si>
    <t>4</t>
  </si>
  <si>
    <t>S</t>
  </si>
  <si>
    <t>5</t>
  </si>
  <si>
    <t>Personal</t>
  </si>
  <si>
    <t>6</t>
  </si>
  <si>
    <t>7</t>
  </si>
  <si>
    <t>8</t>
  </si>
  <si>
    <t>9</t>
  </si>
  <si>
    <t>Sick</t>
  </si>
  <si>
    <t>10</t>
  </si>
  <si>
    <t>11</t>
  </si>
  <si>
    <t>12</t>
  </si>
  <si>
    <t>Custom 1</t>
  </si>
  <si>
    <t>13</t>
  </si>
  <si>
    <t>14</t>
  </si>
  <si>
    <t>15</t>
  </si>
  <si>
    <t>16</t>
  </si>
  <si>
    <t>Custom 2</t>
  </si>
  <si>
    <t>17</t>
  </si>
  <si>
    <t>18</t>
  </si>
  <si>
    <t>19</t>
  </si>
  <si>
    <t>20</t>
  </si>
  <si>
    <t>21</t>
  </si>
  <si>
    <t>22</t>
  </si>
  <si>
    <t>23</t>
  </si>
  <si>
    <t>24</t>
  </si>
  <si>
    <t>25</t>
  </si>
  <si>
    <t>26</t>
  </si>
  <si>
    <t>27</t>
  </si>
  <si>
    <t>28</t>
  </si>
  <si>
    <t>29</t>
  </si>
  <si>
    <t>30</t>
  </si>
  <si>
    <t>31</t>
  </si>
  <si>
    <t>Enter year:</t>
  </si>
  <si>
    <t>Total Days</t>
  </si>
  <si>
    <t>February</t>
  </si>
  <si>
    <t xml:space="preserve"> </t>
  </si>
  <si>
    <t xml:space="preserve">  </t>
  </si>
  <si>
    <t>March</t>
  </si>
  <si>
    <t>April</t>
  </si>
  <si>
    <t>May</t>
  </si>
  <si>
    <t>June</t>
  </si>
  <si>
    <t>July</t>
  </si>
  <si>
    <t>August</t>
  </si>
  <si>
    <t>September</t>
  </si>
  <si>
    <t>October</t>
  </si>
  <si>
    <t>November</t>
  </si>
  <si>
    <t>December</t>
  </si>
  <si>
    <t>Employee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</si>
</sst>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11"/>
      <color theme="1"/>
      <name val="Arial"/>
      <family val="2"/>
    </font>
    <font>
      <b/>
      <sz val="26"/>
      <color theme="1"/>
      <name val="Arial"/>
      <family val="2"/>
    </font>
    <font>
      <b/>
      <sz val="11"/>
      <color theme="1"/>
      <name val="Arial"/>
      <family val="2"/>
    </font>
    <font>
      <sz val="11"/>
      <color theme="4" tint="-0.499984740745262"/>
      <name val="Arial"/>
      <family val="2"/>
    </font>
    <font>
      <b/>
      <sz val="18"/>
      <color theme="4" tint="-0.24994659260841701"/>
      <name val="Arial"/>
      <family val="2"/>
    </font>
    <font>
      <b/>
      <sz val="26"/>
      <color theme="3"/>
      <name val="Arial"/>
      <family val="2"/>
    </font>
  </fonts>
  <fills count="21">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s>
  <borders count="1">
    <border>
      <left/>
      <right/>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27">
    <xf numFmtId="0" fontId="0" fillId="0" borderId="0" xfId="0">
      <alignment horizontal="left" vertical="center"/>
    </xf>
    <xf numFmtId="0" fontId="9" fillId="0" borderId="0" xfId="0" applyFont="1" applyAlignment="1" applyProtection="1">
      <alignment horizontal="left" vertical="center" wrapText="1"/>
    </xf>
    <xf numFmtId="0" fontId="10" fillId="0" borderId="0" xfId="1" applyFont="1" applyAlignment="1" applyProtection="1">
      <alignment vertical="top"/>
    </xf>
    <xf numFmtId="0" fontId="9" fillId="0" borderId="0" xfId="0" applyFont="1" applyProtection="1">
      <alignment horizontal="left" vertical="center"/>
    </xf>
    <xf numFmtId="0" fontId="9" fillId="0" borderId="0" xfId="0" applyFont="1">
      <alignment horizontal="left" vertical="center"/>
    </xf>
    <xf numFmtId="0" fontId="11" fillId="20" borderId="0" xfId="4" applyFont="1" applyProtection="1">
      <alignment horizontal="right" vertical="center" indent="1"/>
    </xf>
    <xf numFmtId="0" fontId="11" fillId="15" borderId="0" xfId="12" applyFont="1" applyAlignment="1" applyProtection="1">
      <alignment horizontal="center" vertical="center"/>
    </xf>
    <xf numFmtId="0" fontId="11" fillId="10" borderId="0" xfId="19" applyFont="1" applyAlignment="1" applyProtection="1">
      <alignment horizontal="center" vertical="center"/>
    </xf>
    <xf numFmtId="0" fontId="11" fillId="13" borderId="0" xfId="23" applyFont="1" applyAlignment="1" applyProtection="1">
      <alignment horizontal="center" vertical="center"/>
    </xf>
    <xf numFmtId="164" fontId="11" fillId="9" borderId="0" xfId="8" applyNumberFormat="1" applyFont="1" applyAlignment="1" applyProtection="1">
      <alignment horizontal="center" vertical="center"/>
    </xf>
    <xf numFmtId="164" fontId="11" fillId="14" borderId="0" xfId="24" applyNumberFormat="1" applyFont="1" applyAlignment="1" applyProtection="1">
      <alignment horizontal="center" vertical="center"/>
    </xf>
    <xf numFmtId="0" fontId="12" fillId="0" borderId="0" xfId="27" applyFont="1" applyProtection="1">
      <alignment horizontal="center"/>
    </xf>
    <xf numFmtId="0" fontId="13" fillId="2" borderId="0" xfId="3" applyFont="1" applyProtection="1">
      <alignment horizontal="center" vertical="center"/>
    </xf>
    <xf numFmtId="0" fontId="9" fillId="0" borderId="0" xfId="0" applyFont="1" applyAlignment="1" applyProtection="1">
      <alignment horizontal="center" vertical="center"/>
    </xf>
    <xf numFmtId="0" fontId="9" fillId="2" borderId="0" xfId="21" applyFont="1" applyBorder="1" applyAlignment="1" applyProtection="1">
      <alignment horizontal="left" vertical="center" indent="1"/>
    </xf>
    <xf numFmtId="0" fontId="9" fillId="0" borderId="0" xfId="0" applyFont="1" applyFill="1" applyBorder="1" applyAlignment="1" applyProtection="1">
      <alignment horizontal="center" vertical="center"/>
    </xf>
    <xf numFmtId="0" fontId="9" fillId="0" borderId="0" xfId="21" applyFont="1" applyFill="1" applyBorder="1" applyAlignment="1" applyProtection="1">
      <alignment horizontal="center" vertical="center"/>
    </xf>
    <xf numFmtId="0" fontId="9" fillId="0" borderId="0" xfId="26" applyFont="1" applyFill="1" applyBorder="1">
      <alignment horizontal="left" vertical="center" wrapText="1" indent="2"/>
    </xf>
    <xf numFmtId="1" fontId="9" fillId="0" borderId="0" xfId="25" applyFont="1" applyFill="1" applyBorder="1" applyProtection="1">
      <alignment horizontal="center" vertical="center"/>
    </xf>
    <xf numFmtId="0" fontId="9" fillId="0" borderId="0" xfId="0" applyFont="1" applyFill="1" applyBorder="1" applyAlignment="1" applyProtection="1">
      <alignment horizontal="left" vertical="center" indent="1"/>
    </xf>
    <xf numFmtId="164" fontId="9" fillId="0" borderId="0" xfId="0" applyNumberFormat="1" applyFont="1" applyFill="1" applyBorder="1" applyAlignment="1" applyProtection="1">
      <alignment horizontal="center" vertical="center"/>
    </xf>
    <xf numFmtId="0" fontId="14" fillId="0" borderId="0" xfId="1" applyFont="1" applyAlignment="1" applyProtection="1">
      <alignment vertical="top"/>
    </xf>
    <xf numFmtId="0" fontId="9" fillId="0" borderId="0" xfId="26" applyFont="1" applyFill="1" applyBorder="1" applyProtection="1">
      <alignment horizontal="left" vertical="center" wrapText="1" indent="2"/>
    </xf>
    <xf numFmtId="0" fontId="9" fillId="0" borderId="0" xfId="26" applyFont="1">
      <alignment horizontal="left" vertical="center" wrapText="1" indent="2"/>
    </xf>
    <xf numFmtId="0" fontId="10" fillId="0" borderId="0" xfId="1" applyFont="1">
      <alignment vertical="top"/>
    </xf>
    <xf numFmtId="0" fontId="13" fillId="2" borderId="0" xfId="3" applyFont="1" applyProtection="1">
      <alignment horizontal="center" vertical="center"/>
    </xf>
    <xf numFmtId="0" fontId="9" fillId="2" borderId="0" xfId="21" applyFont="1" applyAlignment="1" applyProtection="1">
      <alignment horizontal="left" vertical="center"/>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mployee" xfId="26" xr:uid="{00000000-0005-0000-0000-000013000000}"/>
    <cellStyle name="Heading 1" xfId="2" builtinId="16" customBuiltin="1"/>
    <cellStyle name="Heading 2" xfId="3" builtinId="17" customBuiltin="1"/>
    <cellStyle name="Heading 3" xfId="4" builtinId="18" customBuiltin="1"/>
    <cellStyle name="Heading 4" xfId="5" builtinId="19" customBuiltin="1"/>
    <cellStyle name="Label" xfId="27" xr:uid="{00000000-0005-0000-0000-000018000000}"/>
    <cellStyle name="Normal" xfId="0" builtinId="0" customBuiltin="1"/>
    <cellStyle name="Title" xfId="1" builtinId="15" customBuiltin="1"/>
    <cellStyle name="Total" xfId="25" builtinId="25" customBuiltin="1"/>
  </cellStyles>
  <dxfs count="906">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numFmt numFmtId="1" formatCode="0"/>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numFmt numFmtId="0" formatCode="General"/>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fill>
        <patternFill patternType="none">
          <fgColor indexed="64"/>
          <bgColor indexed="65"/>
        </patternFill>
      </fill>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Arial"/>
        <family val="2"/>
        <scheme val="none"/>
      </font>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Arial"/>
        <family val="2"/>
        <scheme val="none"/>
      </font>
      <fill>
        <patternFill patternType="none">
          <fgColor indexed="64"/>
          <bgColor indexed="65"/>
        </patternFill>
      </fill>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strike val="0"/>
        <outline val="0"/>
        <shadow val="0"/>
        <u val="none"/>
        <vertAlign val="baseline"/>
        <name val="Arial"/>
        <family val="2"/>
        <scheme val="none"/>
      </font>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Employee Absence Table" defaultPivotStyle="PivotStyleLight16">
    <tableStyle name="Employee Absence Table" pivot="0" count="13" xr9:uid="{00000000-0011-0000-FFFF-FFFF00000000}">
      <tableStyleElement type="wholeTable" dxfId="905"/>
      <tableStyleElement type="headerRow" dxfId="904"/>
      <tableStyleElement type="totalRow" dxfId="903"/>
      <tableStyleElement type="firstColumn" dxfId="902"/>
      <tableStyleElement type="lastColumn" dxfId="901"/>
      <tableStyleElement type="firstRowStripe" dxfId="900"/>
      <tableStyleElement type="secondRowStripe" dxfId="899"/>
      <tableStyleElement type="firstColumnStripe" dxfId="898"/>
      <tableStyleElement type="secondColumnStripe" dxfId="897"/>
      <tableStyleElement type="firstHeaderCell" dxfId="896"/>
      <tableStyleElement type="lastHeaderCell" dxfId="895"/>
      <tableStyleElement type="firstTotalCell" dxfId="894"/>
      <tableStyleElement type="lastTotalCell" dxfId="89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303696</xdr:colOff>
      <xdr:row>0</xdr:row>
      <xdr:rowOff>101233</xdr:rowOff>
    </xdr:from>
    <xdr:to>
      <xdr:col>34</xdr:col>
      <xdr:colOff>13341</xdr:colOff>
      <xdr:row>0</xdr:row>
      <xdr:rowOff>533768</xdr:rowOff>
    </xdr:to>
    <xdr:pic>
      <xdr:nvPicPr>
        <xdr:cNvPr id="2" name="Picture 1" descr="Payroll Index">
          <a:extLst>
            <a:ext uri="{FF2B5EF4-FFF2-40B4-BE49-F238E27FC236}">
              <a16:creationId xmlns:a16="http://schemas.microsoft.com/office/drawing/2014/main" id="{6FD0AB6C-BD5C-D64A-90FC-4607CFB606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98116" y="101233"/>
          <a:ext cx="2534935" cy="432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January" displayName="January" ref="B6:AH12" totalsRowCount="1" headerRowDxfId="887" dataDxfId="886" totalsRowDxfId="885">
  <autoFilter ref="B6:AH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000-000001000000}" name="Employee Name" totalsRowFunction="custom" dataDxfId="884" totalsRowDxfId="883" dataCellStyle="Employee">
      <totalsRowFormula>MonthName&amp;" Total"</totalsRowFormula>
    </tableColumn>
    <tableColumn id="2" xr3:uid="{00000000-0010-0000-0000-000002000000}" name="1" totalsRowFunction="custom" dataDxfId="882" totalsRowDxfId="881" dataCellStyle="Total">
      <totalsRowFormula>SUBTOTAL(103,January!$C$7:$C$11)</totalsRowFormula>
    </tableColumn>
    <tableColumn id="3" xr3:uid="{00000000-0010-0000-0000-000003000000}" name="2" totalsRowFunction="custom" dataDxfId="880" totalsRowDxfId="879" dataCellStyle="Total">
      <totalsRowFormula>SUBTOTAL(103,January!$D$7:$D$11)</totalsRowFormula>
    </tableColumn>
    <tableColumn id="4" xr3:uid="{00000000-0010-0000-0000-000004000000}" name="3" totalsRowFunction="custom" dataDxfId="878" totalsRowDxfId="877" dataCellStyle="Total">
      <totalsRowFormula>SUBTOTAL(103,January!$E$7:$E$11)</totalsRowFormula>
    </tableColumn>
    <tableColumn id="5" xr3:uid="{00000000-0010-0000-0000-000005000000}" name="4" totalsRowFunction="custom" dataDxfId="876" totalsRowDxfId="875" dataCellStyle="Total">
      <totalsRowFormula>SUBTOTAL(103,January!$F$7:$F$11)</totalsRowFormula>
    </tableColumn>
    <tableColumn id="6" xr3:uid="{00000000-0010-0000-0000-000006000000}" name="5" totalsRowFunction="custom" dataDxfId="874" totalsRowDxfId="873" dataCellStyle="Total">
      <totalsRowFormula>SUBTOTAL(103,January!$G$7:$G$11)</totalsRowFormula>
    </tableColumn>
    <tableColumn id="7" xr3:uid="{00000000-0010-0000-0000-000007000000}" name="6" totalsRowFunction="custom" dataDxfId="872" totalsRowDxfId="871" dataCellStyle="Total">
      <totalsRowFormula>SUBTOTAL(103,January!$H$7:$H$11)</totalsRowFormula>
    </tableColumn>
    <tableColumn id="8" xr3:uid="{00000000-0010-0000-0000-000008000000}" name="7" totalsRowFunction="custom" dataDxfId="870" totalsRowDxfId="869" dataCellStyle="Total">
      <totalsRowFormula>SUBTOTAL(103,January!$I$7:$I$11)</totalsRowFormula>
    </tableColumn>
    <tableColumn id="9" xr3:uid="{00000000-0010-0000-0000-000009000000}" name="8" totalsRowFunction="custom" dataDxfId="868" totalsRowDxfId="867" dataCellStyle="Total">
      <totalsRowFormula>SUBTOTAL(103,January!$J$7:$J$11)</totalsRowFormula>
    </tableColumn>
    <tableColumn id="10" xr3:uid="{00000000-0010-0000-0000-00000A000000}" name="9" totalsRowFunction="custom" dataDxfId="866" totalsRowDxfId="865" dataCellStyle="Total">
      <totalsRowFormula>SUBTOTAL(103,January!$K$7:$K$11)</totalsRowFormula>
    </tableColumn>
    <tableColumn id="11" xr3:uid="{00000000-0010-0000-0000-00000B000000}" name="10" totalsRowFunction="custom" dataDxfId="864" totalsRowDxfId="863" dataCellStyle="Total">
      <totalsRowFormula>SUBTOTAL(103,January!$L$7:$L$11)</totalsRowFormula>
    </tableColumn>
    <tableColumn id="12" xr3:uid="{00000000-0010-0000-0000-00000C000000}" name="11" totalsRowFunction="custom" dataDxfId="862" totalsRowDxfId="861" dataCellStyle="Total">
      <totalsRowFormula>SUBTOTAL(103,January!$M$7:$M$11)</totalsRowFormula>
    </tableColumn>
    <tableColumn id="13" xr3:uid="{00000000-0010-0000-0000-00000D000000}" name="12" totalsRowFunction="custom" dataDxfId="860" totalsRowDxfId="859" dataCellStyle="Total">
      <totalsRowFormula>SUBTOTAL(103,January!$N$7:$N$11)</totalsRowFormula>
    </tableColumn>
    <tableColumn id="14" xr3:uid="{00000000-0010-0000-0000-00000E000000}" name="13" totalsRowFunction="custom" dataDxfId="858" totalsRowDxfId="857" dataCellStyle="Total">
      <totalsRowFormula>SUBTOTAL(103,January!$O$7:$O$11)</totalsRowFormula>
    </tableColumn>
    <tableColumn id="15" xr3:uid="{00000000-0010-0000-0000-00000F000000}" name="14" totalsRowFunction="custom" dataDxfId="856" totalsRowDxfId="855" dataCellStyle="Total">
      <totalsRowFormula>SUBTOTAL(103,January!$P$7:$P$11)</totalsRowFormula>
    </tableColumn>
    <tableColumn id="16" xr3:uid="{00000000-0010-0000-0000-000010000000}" name="15" totalsRowFunction="custom" dataDxfId="854" totalsRowDxfId="853" dataCellStyle="Total">
      <totalsRowFormula>SUBTOTAL(103,January!$Q$7:$Q$11)</totalsRowFormula>
    </tableColumn>
    <tableColumn id="17" xr3:uid="{00000000-0010-0000-0000-000011000000}" name="16" totalsRowFunction="custom" dataDxfId="852" totalsRowDxfId="851" dataCellStyle="Total">
      <totalsRowFormula>SUBTOTAL(103,January!$R$7:$R$11)</totalsRowFormula>
    </tableColumn>
    <tableColumn id="18" xr3:uid="{00000000-0010-0000-0000-000012000000}" name="17" totalsRowFunction="custom" dataDxfId="850" totalsRowDxfId="849" dataCellStyle="Total">
      <totalsRowFormula>SUBTOTAL(103,January!$S$7:$S$11)</totalsRowFormula>
    </tableColumn>
    <tableColumn id="19" xr3:uid="{00000000-0010-0000-0000-000013000000}" name="18" totalsRowFunction="custom" dataDxfId="848" totalsRowDxfId="847" dataCellStyle="Total">
      <totalsRowFormula>SUBTOTAL(103,January!$T$7:$T$11)</totalsRowFormula>
    </tableColumn>
    <tableColumn id="20" xr3:uid="{00000000-0010-0000-0000-000014000000}" name="19" totalsRowFunction="custom" dataDxfId="846" totalsRowDxfId="845" dataCellStyle="Total">
      <totalsRowFormula>SUBTOTAL(103,January!$U$7:$U$11)</totalsRowFormula>
    </tableColumn>
    <tableColumn id="21" xr3:uid="{00000000-0010-0000-0000-000015000000}" name="20" totalsRowFunction="custom" dataDxfId="844" totalsRowDxfId="843" dataCellStyle="Total">
      <totalsRowFormula>SUBTOTAL(103,January!$V$7:$V$11)</totalsRowFormula>
    </tableColumn>
    <tableColumn id="22" xr3:uid="{00000000-0010-0000-0000-000016000000}" name="21" totalsRowFunction="custom" dataDxfId="842" totalsRowDxfId="841" dataCellStyle="Total">
      <totalsRowFormula>SUBTOTAL(103,January!$W$7:$W$11)</totalsRowFormula>
    </tableColumn>
    <tableColumn id="23" xr3:uid="{00000000-0010-0000-0000-000017000000}" name="22" totalsRowFunction="custom" dataDxfId="840" totalsRowDxfId="839" dataCellStyle="Total">
      <totalsRowFormula>SUBTOTAL(103,January!$X$7:$X$11)</totalsRowFormula>
    </tableColumn>
    <tableColumn id="24" xr3:uid="{00000000-0010-0000-0000-000018000000}" name="23" totalsRowFunction="custom" dataDxfId="838" totalsRowDxfId="837" dataCellStyle="Total">
      <totalsRowFormula>SUBTOTAL(103,January!$Y$7:$Y$11)</totalsRowFormula>
    </tableColumn>
    <tableColumn id="25" xr3:uid="{00000000-0010-0000-0000-000019000000}" name="24" totalsRowFunction="custom" dataDxfId="836" totalsRowDxfId="835" dataCellStyle="Total">
      <totalsRowFormula>SUBTOTAL(103,January!$Z$7:$Z$11)</totalsRowFormula>
    </tableColumn>
    <tableColumn id="26" xr3:uid="{00000000-0010-0000-0000-00001A000000}" name="25" totalsRowFunction="custom" dataDxfId="834" totalsRowDxfId="833" dataCellStyle="Total">
      <totalsRowFormula>SUBTOTAL(103,January!$AA$7:$AA$11)</totalsRowFormula>
    </tableColumn>
    <tableColumn id="27" xr3:uid="{00000000-0010-0000-0000-00001B000000}" name="26" totalsRowFunction="custom" dataDxfId="832" totalsRowDxfId="831" dataCellStyle="Total">
      <totalsRowFormula>SUBTOTAL(103,January!$AB$7:$AB$11)</totalsRowFormula>
    </tableColumn>
    <tableColumn id="28" xr3:uid="{00000000-0010-0000-0000-00001C000000}" name="27" totalsRowFunction="custom" dataDxfId="830" totalsRowDxfId="829" dataCellStyle="Total">
      <totalsRowFormula>SUBTOTAL(103,January!$AC$7:$AC$11)</totalsRowFormula>
    </tableColumn>
    <tableColumn id="29" xr3:uid="{00000000-0010-0000-0000-00001D000000}" name="28" totalsRowFunction="custom" dataDxfId="828" totalsRowDxfId="827" dataCellStyle="Total">
      <totalsRowFormula>SUBTOTAL(103,January!$AD$7:$AD$11)</totalsRowFormula>
    </tableColumn>
    <tableColumn id="30" xr3:uid="{00000000-0010-0000-0000-00001E000000}" name="29" totalsRowFunction="custom" dataDxfId="826" totalsRowDxfId="825" dataCellStyle="Total">
      <totalsRowFormula>SUBTOTAL(103,January!$AE$7:$AE$11)</totalsRowFormula>
    </tableColumn>
    <tableColumn id="31" xr3:uid="{00000000-0010-0000-0000-00001F000000}" name="30" totalsRowFunction="custom" dataDxfId="824" totalsRowDxfId="823" dataCellStyle="Total">
      <totalsRowFormula>SUBTOTAL(103,January!$AF$7:$AF$11)</totalsRowFormula>
    </tableColumn>
    <tableColumn id="32" xr3:uid="{00000000-0010-0000-0000-000020000000}" name="31" totalsRowFunction="custom" dataDxfId="822" totalsRowDxfId="821" dataCellStyle="Total">
      <totalsRowFormula>SUBTOTAL(103,January!$AG$7:$AG$11)</totalsRowFormula>
    </tableColumn>
    <tableColumn id="33" xr3:uid="{00000000-0010-0000-0000-000021000000}" name="Total Days" totalsRowFunction="sum" dataDxfId="820" totalsRowDxfId="819" dataCellStyle="Total">
      <calculatedColumnFormula>COUNTA(January!$C7:$AG7)</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October" displayName="October" ref="B6:AH12" totalsRowCount="1" headerRowDxfId="219" dataDxfId="218" totalsRowDxfId="217">
  <tableColumns count="33">
    <tableColumn id="1" xr3:uid="{00000000-0010-0000-0900-000001000000}" name="Employee Name" totalsRowFunction="custom" dataDxfId="216" totalsRowDxfId="215" dataCellStyle="Employee">
      <totalsRowFormula>MonthName&amp;" Total"</totalsRowFormula>
    </tableColumn>
    <tableColumn id="2" xr3:uid="{00000000-0010-0000-0900-000002000000}" name="1" totalsRowFunction="count" dataDxfId="214" totalsRowDxfId="213"/>
    <tableColumn id="3" xr3:uid="{00000000-0010-0000-0900-000003000000}" name="2" totalsRowFunction="count" dataDxfId="212" totalsRowDxfId="211"/>
    <tableColumn id="4" xr3:uid="{00000000-0010-0000-0900-000004000000}" name="3" totalsRowFunction="count" dataDxfId="210" totalsRowDxfId="209"/>
    <tableColumn id="5" xr3:uid="{00000000-0010-0000-0900-000005000000}" name="4" totalsRowFunction="count" dataDxfId="208" totalsRowDxfId="207"/>
    <tableColumn id="6" xr3:uid="{00000000-0010-0000-0900-000006000000}" name="5" totalsRowFunction="count" dataDxfId="206" totalsRowDxfId="205"/>
    <tableColumn id="7" xr3:uid="{00000000-0010-0000-0900-000007000000}" name="6" totalsRowFunction="count" dataDxfId="204" totalsRowDxfId="203"/>
    <tableColumn id="8" xr3:uid="{00000000-0010-0000-0900-000008000000}" name="7" totalsRowFunction="count" dataDxfId="202" totalsRowDxfId="201"/>
    <tableColumn id="9" xr3:uid="{00000000-0010-0000-0900-000009000000}" name="8" totalsRowFunction="count" dataDxfId="200" totalsRowDxfId="199"/>
    <tableColumn id="10" xr3:uid="{00000000-0010-0000-0900-00000A000000}" name="9" totalsRowFunction="count" dataDxfId="198" totalsRowDxfId="197"/>
    <tableColumn id="11" xr3:uid="{00000000-0010-0000-0900-00000B000000}" name="10" totalsRowFunction="count" dataDxfId="196" totalsRowDxfId="195"/>
    <tableColumn id="12" xr3:uid="{00000000-0010-0000-0900-00000C000000}" name="11" totalsRowFunction="count" dataDxfId="194" totalsRowDxfId="193"/>
    <tableColumn id="13" xr3:uid="{00000000-0010-0000-0900-00000D000000}" name="12" totalsRowFunction="count" dataDxfId="192" totalsRowDxfId="191"/>
    <tableColumn id="14" xr3:uid="{00000000-0010-0000-0900-00000E000000}" name="13" totalsRowFunction="count" dataDxfId="190" totalsRowDxfId="189"/>
    <tableColumn id="15" xr3:uid="{00000000-0010-0000-0900-00000F000000}" name="14" totalsRowFunction="count" dataDxfId="188" totalsRowDxfId="187"/>
    <tableColumn id="16" xr3:uid="{00000000-0010-0000-0900-000010000000}" name="15" totalsRowFunction="count" dataDxfId="186" totalsRowDxfId="185"/>
    <tableColumn id="17" xr3:uid="{00000000-0010-0000-0900-000011000000}" name="16" totalsRowFunction="count" dataDxfId="184" totalsRowDxfId="183"/>
    <tableColumn id="18" xr3:uid="{00000000-0010-0000-0900-000012000000}" name="17" totalsRowFunction="count" dataDxfId="182" totalsRowDxfId="181"/>
    <tableColumn id="19" xr3:uid="{00000000-0010-0000-0900-000013000000}" name="18" totalsRowFunction="count" dataDxfId="180" totalsRowDxfId="179"/>
    <tableColumn id="20" xr3:uid="{00000000-0010-0000-0900-000014000000}" name="19" totalsRowFunction="count" dataDxfId="178" totalsRowDxfId="177"/>
    <tableColumn id="21" xr3:uid="{00000000-0010-0000-0900-000015000000}" name="20" totalsRowFunction="count" dataDxfId="176" totalsRowDxfId="175"/>
    <tableColumn id="22" xr3:uid="{00000000-0010-0000-0900-000016000000}" name="21" totalsRowFunction="count" dataDxfId="174" totalsRowDxfId="173"/>
    <tableColumn id="23" xr3:uid="{00000000-0010-0000-0900-000017000000}" name="22" totalsRowFunction="count" dataDxfId="172" totalsRowDxfId="171"/>
    <tableColumn id="24" xr3:uid="{00000000-0010-0000-0900-000018000000}" name="23" totalsRowFunction="count" dataDxfId="170" totalsRowDxfId="169"/>
    <tableColumn id="25" xr3:uid="{00000000-0010-0000-0900-000019000000}" name="24" totalsRowFunction="count" dataDxfId="168" totalsRowDxfId="167"/>
    <tableColumn id="26" xr3:uid="{00000000-0010-0000-0900-00001A000000}" name="25" totalsRowFunction="count" dataDxfId="166" totalsRowDxfId="165"/>
    <tableColumn id="27" xr3:uid="{00000000-0010-0000-0900-00001B000000}" name="26" totalsRowFunction="count" dataDxfId="164" totalsRowDxfId="163"/>
    <tableColumn id="28" xr3:uid="{00000000-0010-0000-0900-00001C000000}" name="27" totalsRowFunction="count" dataDxfId="162" totalsRowDxfId="161"/>
    <tableColumn id="29" xr3:uid="{00000000-0010-0000-0900-00001D000000}" name="28" totalsRowFunction="count" dataDxfId="160" totalsRowDxfId="159"/>
    <tableColumn id="30" xr3:uid="{00000000-0010-0000-0900-00001E000000}" name="29" totalsRowFunction="count" dataDxfId="158" totalsRowDxfId="157"/>
    <tableColumn id="31" xr3:uid="{00000000-0010-0000-0900-00001F000000}" name="30" totalsRowFunction="sum" dataDxfId="156" totalsRowDxfId="155"/>
    <tableColumn id="32" xr3:uid="{00000000-0010-0000-0900-000020000000}" name="31" totalsRowFunction="sum" dataDxfId="154" totalsRowDxfId="153" dataCellStyle="Total"/>
    <tableColumn id="33" xr3:uid="{00000000-0010-0000-0900-000021000000}" name="Total Days" totalsRowFunction="sum" dataDxfId="152" totalsRowDxfId="151" dataCellStyle="Total">
      <calculatedColumnFormula>COUNTA(October[[#This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November" displayName="November" ref="B6:AH12" totalsRowCount="1" headerRowDxfId="145" dataDxfId="144" totalsRowDxfId="143">
  <tableColumns count="33">
    <tableColumn id="1" xr3:uid="{00000000-0010-0000-0A00-000001000000}" name="Employee Name" totalsRowFunction="custom" dataDxfId="142" totalsRowDxfId="141" dataCellStyle="Employee">
      <totalsRowFormula>MonthName&amp;" Total"</totalsRowFormula>
    </tableColumn>
    <tableColumn id="2" xr3:uid="{00000000-0010-0000-0A00-000002000000}" name="1" totalsRowFunction="count" dataDxfId="140" totalsRowDxfId="139"/>
    <tableColumn id="3" xr3:uid="{00000000-0010-0000-0A00-000003000000}" name="2" totalsRowFunction="count" dataDxfId="138" totalsRowDxfId="137"/>
    <tableColumn id="4" xr3:uid="{00000000-0010-0000-0A00-000004000000}" name="3" totalsRowFunction="count" dataDxfId="136" totalsRowDxfId="135"/>
    <tableColumn id="5" xr3:uid="{00000000-0010-0000-0A00-000005000000}" name="4" totalsRowFunction="count" dataDxfId="134" totalsRowDxfId="133"/>
    <tableColumn id="6" xr3:uid="{00000000-0010-0000-0A00-000006000000}" name="5" totalsRowFunction="count" dataDxfId="132" totalsRowDxfId="131"/>
    <tableColumn id="7" xr3:uid="{00000000-0010-0000-0A00-000007000000}" name="6" totalsRowFunction="count" dataDxfId="130" totalsRowDxfId="129"/>
    <tableColumn id="8" xr3:uid="{00000000-0010-0000-0A00-000008000000}" name="7" totalsRowFunction="count" dataDxfId="128" totalsRowDxfId="127"/>
    <tableColumn id="9" xr3:uid="{00000000-0010-0000-0A00-000009000000}" name="8" totalsRowFunction="count" dataDxfId="126" totalsRowDxfId="125"/>
    <tableColumn id="10" xr3:uid="{00000000-0010-0000-0A00-00000A000000}" name="9" totalsRowFunction="count" dataDxfId="124" totalsRowDxfId="123"/>
    <tableColumn id="11" xr3:uid="{00000000-0010-0000-0A00-00000B000000}" name="10" totalsRowFunction="count" dataDxfId="122" totalsRowDxfId="121"/>
    <tableColumn id="12" xr3:uid="{00000000-0010-0000-0A00-00000C000000}" name="11" totalsRowFunction="count" dataDxfId="120" totalsRowDxfId="119"/>
    <tableColumn id="13" xr3:uid="{00000000-0010-0000-0A00-00000D000000}" name="12" totalsRowFunction="count" dataDxfId="118" totalsRowDxfId="117"/>
    <tableColumn id="14" xr3:uid="{00000000-0010-0000-0A00-00000E000000}" name="13" totalsRowFunction="count" dataDxfId="116" totalsRowDxfId="115"/>
    <tableColumn id="15" xr3:uid="{00000000-0010-0000-0A00-00000F000000}" name="14" totalsRowFunction="count" dataDxfId="114" totalsRowDxfId="113"/>
    <tableColumn id="16" xr3:uid="{00000000-0010-0000-0A00-000010000000}" name="15" totalsRowFunction="count" dataDxfId="112" totalsRowDxfId="111"/>
    <tableColumn id="17" xr3:uid="{00000000-0010-0000-0A00-000011000000}" name="16" totalsRowFunction="count" dataDxfId="110" totalsRowDxfId="109"/>
    <tableColumn id="18" xr3:uid="{00000000-0010-0000-0A00-000012000000}" name="17" totalsRowFunction="count" dataDxfId="108" totalsRowDxfId="107"/>
    <tableColumn id="19" xr3:uid="{00000000-0010-0000-0A00-000013000000}" name="18" totalsRowFunction="count" dataDxfId="106" totalsRowDxfId="105"/>
    <tableColumn id="20" xr3:uid="{00000000-0010-0000-0A00-000014000000}" name="19" totalsRowFunction="count" dataDxfId="104" totalsRowDxfId="103"/>
    <tableColumn id="21" xr3:uid="{00000000-0010-0000-0A00-000015000000}" name="20" totalsRowFunction="count" dataDxfId="102" totalsRowDxfId="101"/>
    <tableColumn id="22" xr3:uid="{00000000-0010-0000-0A00-000016000000}" name="21" totalsRowFunction="count" dataDxfId="100" totalsRowDxfId="99"/>
    <tableColumn id="23" xr3:uid="{00000000-0010-0000-0A00-000017000000}" name="22" totalsRowFunction="count" dataDxfId="98" totalsRowDxfId="97"/>
    <tableColumn id="24" xr3:uid="{00000000-0010-0000-0A00-000018000000}" name="23" totalsRowFunction="count" dataDxfId="96" totalsRowDxfId="95"/>
    <tableColumn id="25" xr3:uid="{00000000-0010-0000-0A00-000019000000}" name="24" totalsRowFunction="count" dataDxfId="94" totalsRowDxfId="93"/>
    <tableColumn id="26" xr3:uid="{00000000-0010-0000-0A00-00001A000000}" name="25" totalsRowFunction="count" dataDxfId="92" totalsRowDxfId="91"/>
    <tableColumn id="27" xr3:uid="{00000000-0010-0000-0A00-00001B000000}" name="26" totalsRowFunction="count" dataDxfId="90" totalsRowDxfId="89"/>
    <tableColumn id="28" xr3:uid="{00000000-0010-0000-0A00-00001C000000}" name="27" totalsRowFunction="count" dataDxfId="88" totalsRowDxfId="87"/>
    <tableColumn id="29" xr3:uid="{00000000-0010-0000-0A00-00001D000000}" name="28" totalsRowFunction="count" dataDxfId="86" totalsRowDxfId="85"/>
    <tableColumn id="30" xr3:uid="{00000000-0010-0000-0A00-00001E000000}" name="29" totalsRowFunction="count" dataDxfId="84" totalsRowDxfId="83"/>
    <tableColumn id="31" xr3:uid="{00000000-0010-0000-0A00-00001F000000}" name="30" totalsRowFunction="sum" dataDxfId="82" totalsRowDxfId="81"/>
    <tableColumn id="32" xr3:uid="{00000000-0010-0000-0A00-000020000000}" name="31" totalsRowFunction="sum" dataDxfId="80" totalsRowDxfId="79" dataCellStyle="Total"/>
    <tableColumn id="33" xr3:uid="{00000000-0010-0000-0A00-000021000000}" name="Total Days" totalsRowFunction="sum" dataDxfId="78" totalsRowDxfId="77" dataCellStyle="Total">
      <calculatedColumnFormula>COUNTA(November[[#This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cember" displayName="December" ref="B6:AH12" totalsRowCount="1" headerRowDxfId="71" dataDxfId="70" totalsRowDxfId="69">
  <tableColumns count="33">
    <tableColumn id="1" xr3:uid="{00000000-0010-0000-0B00-000001000000}" name="Employee Name" totalsRowFunction="custom" dataDxfId="68" totalsRowDxfId="67" dataCellStyle="Employee">
      <totalsRowFormula>MonthName&amp;" Total"</totalsRowFormula>
    </tableColumn>
    <tableColumn id="2" xr3:uid="{00000000-0010-0000-0B00-000002000000}" name="1" totalsRowFunction="count" dataDxfId="66" totalsRowDxfId="65"/>
    <tableColumn id="3" xr3:uid="{00000000-0010-0000-0B00-000003000000}" name="2" totalsRowFunction="count" dataDxfId="64" totalsRowDxfId="63"/>
    <tableColumn id="4" xr3:uid="{00000000-0010-0000-0B00-000004000000}" name="3" totalsRowFunction="count" dataDxfId="62" totalsRowDxfId="61"/>
    <tableColumn id="5" xr3:uid="{00000000-0010-0000-0B00-000005000000}" name="4" totalsRowFunction="count" dataDxfId="60" totalsRowDxfId="59"/>
    <tableColumn id="6" xr3:uid="{00000000-0010-0000-0B00-000006000000}" name="5" totalsRowFunction="count" dataDxfId="58" totalsRowDxfId="57"/>
    <tableColumn id="7" xr3:uid="{00000000-0010-0000-0B00-000007000000}" name="6" totalsRowFunction="count" dataDxfId="56" totalsRowDxfId="55"/>
    <tableColumn id="8" xr3:uid="{00000000-0010-0000-0B00-000008000000}" name="7" totalsRowFunction="count" dataDxfId="54" totalsRowDxfId="53"/>
    <tableColumn id="9" xr3:uid="{00000000-0010-0000-0B00-000009000000}" name="8" totalsRowFunction="count" dataDxfId="52" totalsRowDxfId="51"/>
    <tableColumn id="10" xr3:uid="{00000000-0010-0000-0B00-00000A000000}" name="9" totalsRowFunction="count" dataDxfId="50" totalsRowDxfId="49"/>
    <tableColumn id="11" xr3:uid="{00000000-0010-0000-0B00-00000B000000}" name="10" totalsRowFunction="count" dataDxfId="48" totalsRowDxfId="47"/>
    <tableColumn id="12" xr3:uid="{00000000-0010-0000-0B00-00000C000000}" name="11" totalsRowFunction="count" dataDxfId="46" totalsRowDxfId="45"/>
    <tableColumn id="13" xr3:uid="{00000000-0010-0000-0B00-00000D000000}" name="12" totalsRowFunction="count" dataDxfId="44" totalsRowDxfId="43"/>
    <tableColumn id="14" xr3:uid="{00000000-0010-0000-0B00-00000E000000}" name="13" totalsRowFunction="count" dataDxfId="42" totalsRowDxfId="41"/>
    <tableColumn id="15" xr3:uid="{00000000-0010-0000-0B00-00000F000000}" name="14" totalsRowFunction="count" dataDxfId="40" totalsRowDxfId="39"/>
    <tableColumn id="16" xr3:uid="{00000000-0010-0000-0B00-000010000000}" name="15" totalsRowFunction="count" dataDxfId="38" totalsRowDxfId="37"/>
    <tableColumn id="17" xr3:uid="{00000000-0010-0000-0B00-000011000000}" name="16" totalsRowFunction="count" dataDxfId="36" totalsRowDxfId="35"/>
    <tableColumn id="18" xr3:uid="{00000000-0010-0000-0B00-000012000000}" name="17" totalsRowFunction="count" dataDxfId="34" totalsRowDxfId="33"/>
    <tableColumn id="19" xr3:uid="{00000000-0010-0000-0B00-000013000000}" name="18" totalsRowFunction="count" dataDxfId="32" totalsRowDxfId="31"/>
    <tableColumn id="20" xr3:uid="{00000000-0010-0000-0B00-000014000000}" name="19" totalsRowFunction="count" dataDxfId="30" totalsRowDxfId="29"/>
    <tableColumn id="21" xr3:uid="{00000000-0010-0000-0B00-000015000000}" name="20" totalsRowFunction="count" dataDxfId="28" totalsRowDxfId="27"/>
    <tableColumn id="22" xr3:uid="{00000000-0010-0000-0B00-000016000000}" name="21" totalsRowFunction="count" dataDxfId="26" totalsRowDxfId="25"/>
    <tableColumn id="23" xr3:uid="{00000000-0010-0000-0B00-000017000000}" name="22" totalsRowFunction="count" dataDxfId="24" totalsRowDxfId="23"/>
    <tableColumn id="24" xr3:uid="{00000000-0010-0000-0B00-000018000000}" name="23" totalsRowFunction="count" dataDxfId="22" totalsRowDxfId="21"/>
    <tableColumn id="25" xr3:uid="{00000000-0010-0000-0B00-000019000000}" name="24" totalsRowFunction="count" dataDxfId="20" totalsRowDxfId="19"/>
    <tableColumn id="26" xr3:uid="{00000000-0010-0000-0B00-00001A000000}" name="25" totalsRowFunction="count" dataDxfId="18" totalsRowDxfId="17"/>
    <tableColumn id="27" xr3:uid="{00000000-0010-0000-0B00-00001B000000}" name="26" totalsRowFunction="count" dataDxfId="16" totalsRowDxfId="15"/>
    <tableColumn id="28" xr3:uid="{00000000-0010-0000-0B00-00001C000000}" name="27" totalsRowFunction="count" dataDxfId="14" totalsRowDxfId="13"/>
    <tableColumn id="29" xr3:uid="{00000000-0010-0000-0B00-00001D000000}" name="28" totalsRowFunction="count" dataDxfId="12" totalsRowDxfId="11"/>
    <tableColumn id="30" xr3:uid="{00000000-0010-0000-0B00-00001E000000}" name="29" totalsRowFunction="count" dataDxfId="10" totalsRowDxfId="9"/>
    <tableColumn id="31" xr3:uid="{00000000-0010-0000-0B00-00001F000000}" name="30" totalsRowFunction="sum" dataDxfId="8" totalsRowDxfId="7"/>
    <tableColumn id="32" xr3:uid="{00000000-0010-0000-0B00-000020000000}" name="31" totalsRowFunction="sum" dataDxfId="6" totalsRowDxfId="5" dataCellStyle="Total"/>
    <tableColumn id="33" xr3:uid="{00000000-0010-0000-0B00-000021000000}" name="Total Days" totalsRowFunction="sum" dataDxfId="4" totalsRowDxfId="3" dataCellStyle="Total">
      <calculatedColumnFormula>COUNTA(December[[#This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s a list of names and calendar dates to record employees' absenteeism and specific absence type, such as H=Holiday, S=Sick, P=Personal and two placeholders for custom entri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EmployeeName" displayName="EmployeeName" ref="B3:B8" totalsRowShown="0" headerRowDxfId="2" dataDxfId="1" dataCellStyle="Employee">
  <autoFilter ref="B3:B8" xr:uid="{00000000-0009-0000-0100-00000D000000}"/>
  <tableColumns count="1">
    <tableColumn id="1" xr3:uid="{00000000-0010-0000-0C00-000001000000}" name="Employee Names" dataDxfId="0" dataCellStyle="Employee"/>
  </tableColumns>
  <tableStyleInfo name="Employee Absence Table" showFirstColumn="1" showLastColumn="1" showRowStripes="1" showColumnStripes="0"/>
  <extLst>
    <ext xmlns:x14="http://schemas.microsoft.com/office/spreadsheetml/2009/9/main" uri="{504A1905-F514-4f6f-8877-14C23A59335A}">
      <x14:table altTextSummary="Enter employee names in this table. These names are used as options in each month's absence schedule column 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y" displayName="February" ref="B6:AH12" totalsRowCount="1" headerRowDxfId="811" dataDxfId="810" totalsRowDxfId="809">
  <tableColumns count="33">
    <tableColumn id="1" xr3:uid="{00000000-0010-0000-0100-000001000000}" name="Employee Name" totalsRowFunction="custom" dataDxfId="808" totalsRowDxfId="807" dataCellStyle="Employee">
      <totalsRowFormula>MonthName&amp;" Total"</totalsRowFormula>
    </tableColumn>
    <tableColumn id="2" xr3:uid="{00000000-0010-0000-0100-000002000000}" name="1" totalsRowFunction="count" dataDxfId="806" totalsRowDxfId="805" dataCellStyle="Total"/>
    <tableColumn id="3" xr3:uid="{00000000-0010-0000-0100-000003000000}" name="2" totalsRowFunction="count" dataDxfId="804" totalsRowDxfId="803" dataCellStyle="Total"/>
    <tableColumn id="4" xr3:uid="{00000000-0010-0000-0100-000004000000}" name="3" totalsRowFunction="count" dataDxfId="802" totalsRowDxfId="801" dataCellStyle="Total"/>
    <tableColumn id="5" xr3:uid="{00000000-0010-0000-0100-000005000000}" name="4" totalsRowFunction="count" dataDxfId="800" totalsRowDxfId="799" dataCellStyle="Total"/>
    <tableColumn id="6" xr3:uid="{00000000-0010-0000-0100-000006000000}" name="5" totalsRowFunction="count" dataDxfId="798" totalsRowDxfId="797" dataCellStyle="Total"/>
    <tableColumn id="7" xr3:uid="{00000000-0010-0000-0100-000007000000}" name="6" totalsRowFunction="count" dataDxfId="796" totalsRowDxfId="795" dataCellStyle="Total"/>
    <tableColumn id="8" xr3:uid="{00000000-0010-0000-0100-000008000000}" name="7" totalsRowFunction="count" dataDxfId="794" totalsRowDxfId="793" dataCellStyle="Total"/>
    <tableColumn id="9" xr3:uid="{00000000-0010-0000-0100-000009000000}" name="8" totalsRowFunction="count" dataDxfId="792" totalsRowDxfId="791" dataCellStyle="Total"/>
    <tableColumn id="10" xr3:uid="{00000000-0010-0000-0100-00000A000000}" name="9" totalsRowFunction="count" dataDxfId="790" totalsRowDxfId="789" dataCellStyle="Total"/>
    <tableColumn id="11" xr3:uid="{00000000-0010-0000-0100-00000B000000}" name="10" totalsRowFunction="count" dataDxfId="788" totalsRowDxfId="787" dataCellStyle="Total"/>
    <tableColumn id="12" xr3:uid="{00000000-0010-0000-0100-00000C000000}" name="11" totalsRowFunction="count" dataDxfId="786" totalsRowDxfId="785" dataCellStyle="Total"/>
    <tableColumn id="13" xr3:uid="{00000000-0010-0000-0100-00000D000000}" name="12" totalsRowFunction="count" dataDxfId="784" totalsRowDxfId="783" dataCellStyle="Total"/>
    <tableColumn id="14" xr3:uid="{00000000-0010-0000-0100-00000E000000}" name="13" totalsRowFunction="count" dataDxfId="782" totalsRowDxfId="781" dataCellStyle="Total"/>
    <tableColumn id="15" xr3:uid="{00000000-0010-0000-0100-00000F000000}" name="14" totalsRowFunction="count" dataDxfId="780" totalsRowDxfId="779" dataCellStyle="Total"/>
    <tableColumn id="16" xr3:uid="{00000000-0010-0000-0100-000010000000}" name="15" totalsRowFunction="count" dataDxfId="778" totalsRowDxfId="777" dataCellStyle="Total"/>
    <tableColumn id="17" xr3:uid="{00000000-0010-0000-0100-000011000000}" name="16" totalsRowFunction="count" dataDxfId="776" totalsRowDxfId="775" dataCellStyle="Total"/>
    <tableColumn id="18" xr3:uid="{00000000-0010-0000-0100-000012000000}" name="17" totalsRowFunction="count" dataDxfId="774" totalsRowDxfId="773" dataCellStyle="Total"/>
    <tableColumn id="19" xr3:uid="{00000000-0010-0000-0100-000013000000}" name="18" totalsRowFunction="count" dataDxfId="772" totalsRowDxfId="771" dataCellStyle="Total"/>
    <tableColumn id="20" xr3:uid="{00000000-0010-0000-0100-000014000000}" name="19" totalsRowFunction="count" dataDxfId="770" totalsRowDxfId="769" dataCellStyle="Total"/>
    <tableColumn id="21" xr3:uid="{00000000-0010-0000-0100-000015000000}" name="20" totalsRowFunction="count" dataDxfId="768" totalsRowDxfId="767" dataCellStyle="Total"/>
    <tableColumn id="22" xr3:uid="{00000000-0010-0000-0100-000016000000}" name="21" totalsRowFunction="count" dataDxfId="766" totalsRowDxfId="765" dataCellStyle="Total"/>
    <tableColumn id="23" xr3:uid="{00000000-0010-0000-0100-000017000000}" name="22" totalsRowFunction="count" dataDxfId="764" totalsRowDxfId="763" dataCellStyle="Total"/>
    <tableColumn id="24" xr3:uid="{00000000-0010-0000-0100-000018000000}" name="23" totalsRowFunction="count" dataDxfId="762" totalsRowDxfId="761" dataCellStyle="Total"/>
    <tableColumn id="25" xr3:uid="{00000000-0010-0000-0100-000019000000}" name="24" totalsRowFunction="count" dataDxfId="760" totalsRowDxfId="759" dataCellStyle="Total"/>
    <tableColumn id="26" xr3:uid="{00000000-0010-0000-0100-00001A000000}" name="25" totalsRowFunction="count" dataDxfId="758" totalsRowDxfId="757" dataCellStyle="Total"/>
    <tableColumn id="27" xr3:uid="{00000000-0010-0000-0100-00001B000000}" name="26" totalsRowFunction="count" dataDxfId="756" totalsRowDxfId="755" dataCellStyle="Total"/>
    <tableColumn id="28" xr3:uid="{00000000-0010-0000-0100-00001C000000}" name="27" totalsRowFunction="count" dataDxfId="754" totalsRowDxfId="753" dataCellStyle="Total"/>
    <tableColumn id="29" xr3:uid="{00000000-0010-0000-0100-00001D000000}" name="28" totalsRowFunction="count" dataDxfId="752" totalsRowDxfId="751" dataCellStyle="Total"/>
    <tableColumn id="30" xr3:uid="{00000000-0010-0000-0100-00001E000000}" name="29" totalsRowFunction="count" dataDxfId="750" totalsRowDxfId="749" dataCellStyle="Total"/>
    <tableColumn id="31" xr3:uid="{00000000-0010-0000-0100-00001F000000}" name=" " dataDxfId="748" totalsRowDxfId="747" dataCellStyle="Total"/>
    <tableColumn id="32" xr3:uid="{00000000-0010-0000-0100-000020000000}" name="  " dataDxfId="746" totalsRowDxfId="745" dataCellStyle="Total"/>
    <tableColumn id="33" xr3:uid="{00000000-0010-0000-0100-000021000000}" name="Total Days" totalsRowFunction="sum" dataDxfId="744" totalsRowDxfId="743" dataCellStyle="Total">
      <calculatedColumnFormula>COUNTA(February[[#This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March" displayName="March" ref="B6:AH12" totalsRowCount="1" headerRowDxfId="737" dataDxfId="736" totalsRowDxfId="735">
  <tableColumns count="33">
    <tableColumn id="1" xr3:uid="{00000000-0010-0000-0200-000001000000}" name="Employee Name" totalsRowFunction="custom" dataDxfId="734" totalsRowDxfId="733" dataCellStyle="Employee">
      <totalsRowFormula>MonthName&amp;" Total"</totalsRowFormula>
    </tableColumn>
    <tableColumn id="2" xr3:uid="{00000000-0010-0000-0200-000002000000}" name="1" totalsRowFunction="count" dataDxfId="732" totalsRowDxfId="731"/>
    <tableColumn id="3" xr3:uid="{00000000-0010-0000-0200-000003000000}" name="2" totalsRowFunction="count" dataDxfId="730" totalsRowDxfId="729"/>
    <tableColumn id="4" xr3:uid="{00000000-0010-0000-0200-000004000000}" name="3" totalsRowFunction="count" dataDxfId="728" totalsRowDxfId="727"/>
    <tableColumn id="5" xr3:uid="{00000000-0010-0000-0200-000005000000}" name="4" totalsRowFunction="count" dataDxfId="726" totalsRowDxfId="725"/>
    <tableColumn id="6" xr3:uid="{00000000-0010-0000-0200-000006000000}" name="5" totalsRowFunction="count" dataDxfId="724" totalsRowDxfId="723"/>
    <tableColumn id="7" xr3:uid="{00000000-0010-0000-0200-000007000000}" name="6" totalsRowFunction="count" dataDxfId="722" totalsRowDxfId="721"/>
    <tableColumn id="8" xr3:uid="{00000000-0010-0000-0200-000008000000}" name="7" totalsRowFunction="count" dataDxfId="720" totalsRowDxfId="719"/>
    <tableColumn id="9" xr3:uid="{00000000-0010-0000-0200-000009000000}" name="8" totalsRowFunction="count" dataDxfId="718" totalsRowDxfId="717"/>
    <tableColumn id="10" xr3:uid="{00000000-0010-0000-0200-00000A000000}" name="9" totalsRowFunction="count" dataDxfId="716" totalsRowDxfId="715"/>
    <tableColumn id="11" xr3:uid="{00000000-0010-0000-0200-00000B000000}" name="10" totalsRowFunction="count" dataDxfId="714" totalsRowDxfId="713"/>
    <tableColumn id="12" xr3:uid="{00000000-0010-0000-0200-00000C000000}" name="11" totalsRowFunction="count" dataDxfId="712" totalsRowDxfId="711"/>
    <tableColumn id="13" xr3:uid="{00000000-0010-0000-0200-00000D000000}" name="12" totalsRowFunction="count" dataDxfId="710" totalsRowDxfId="709"/>
    <tableColumn id="14" xr3:uid="{00000000-0010-0000-0200-00000E000000}" name="13" totalsRowFunction="count" dataDxfId="708" totalsRowDxfId="707"/>
    <tableColumn id="15" xr3:uid="{00000000-0010-0000-0200-00000F000000}" name="14" totalsRowFunction="count" dataDxfId="706" totalsRowDxfId="705"/>
    <tableColumn id="16" xr3:uid="{00000000-0010-0000-0200-000010000000}" name="15" totalsRowFunction="count" dataDxfId="704" totalsRowDxfId="703"/>
    <tableColumn id="17" xr3:uid="{00000000-0010-0000-0200-000011000000}" name="16" totalsRowFunction="count" dataDxfId="702" totalsRowDxfId="701"/>
    <tableColumn id="18" xr3:uid="{00000000-0010-0000-0200-000012000000}" name="17" totalsRowFunction="count" dataDxfId="700" totalsRowDxfId="699"/>
    <tableColumn id="19" xr3:uid="{00000000-0010-0000-0200-000013000000}" name="18" totalsRowFunction="count" dataDxfId="698" totalsRowDxfId="697"/>
    <tableColumn id="20" xr3:uid="{00000000-0010-0000-0200-000014000000}" name="19" totalsRowFunction="count" dataDxfId="696" totalsRowDxfId="695"/>
    <tableColumn id="21" xr3:uid="{00000000-0010-0000-0200-000015000000}" name="20" totalsRowFunction="count" dataDxfId="694" totalsRowDxfId="693"/>
    <tableColumn id="22" xr3:uid="{00000000-0010-0000-0200-000016000000}" name="21" totalsRowFunction="count" dataDxfId="692" totalsRowDxfId="691"/>
    <tableColumn id="23" xr3:uid="{00000000-0010-0000-0200-000017000000}" name="22" totalsRowFunction="count" dataDxfId="690" totalsRowDxfId="689"/>
    <tableColumn id="24" xr3:uid="{00000000-0010-0000-0200-000018000000}" name="23" totalsRowFunction="count" dataDxfId="688" totalsRowDxfId="687"/>
    <tableColumn id="25" xr3:uid="{00000000-0010-0000-0200-000019000000}" name="24" totalsRowFunction="count" dataDxfId="686" totalsRowDxfId="685"/>
    <tableColumn id="26" xr3:uid="{00000000-0010-0000-0200-00001A000000}" name="25" totalsRowFunction="count" dataDxfId="684" totalsRowDxfId="683"/>
    <tableColumn id="27" xr3:uid="{00000000-0010-0000-0200-00001B000000}" name="26" totalsRowFunction="count" dataDxfId="682" totalsRowDxfId="681"/>
    <tableColumn id="28" xr3:uid="{00000000-0010-0000-0200-00001C000000}" name="27" totalsRowFunction="count" dataDxfId="680" totalsRowDxfId="679"/>
    <tableColumn id="29" xr3:uid="{00000000-0010-0000-0200-00001D000000}" name="28" totalsRowFunction="count" dataDxfId="678" totalsRowDxfId="677"/>
    <tableColumn id="30" xr3:uid="{00000000-0010-0000-0200-00001E000000}" name="29" totalsRowFunction="count" dataDxfId="676" totalsRowDxfId="675"/>
    <tableColumn id="31" xr3:uid="{00000000-0010-0000-0200-00001F000000}" name="30" totalsRowFunction="count" dataDxfId="674" totalsRowDxfId="673"/>
    <tableColumn id="32" xr3:uid="{00000000-0010-0000-0200-000020000000}" name="31" totalsRowFunction="sum" dataDxfId="672" totalsRowDxfId="671" dataCellStyle="Total"/>
    <tableColumn id="33" xr3:uid="{00000000-0010-0000-0200-000021000000}" name="Total Days" totalsRowFunction="sum" dataDxfId="670" totalsRowDxfId="669" dataCellStyle="Total">
      <calculatedColumnFormula>COUNTA(March[[#This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April" displayName="April" ref="B6:AH12" totalsRowCount="1" headerRowDxfId="663" dataDxfId="662" totalsRowDxfId="661">
  <tableColumns count="33">
    <tableColumn id="1" xr3:uid="{00000000-0010-0000-0300-000001000000}" name="Employee Name" totalsRowFunction="custom" dataDxfId="660" totalsRowDxfId="659" dataCellStyle="Employee">
      <totalsRowFormula>MonthName&amp;" Total"</totalsRowFormula>
    </tableColumn>
    <tableColumn id="2" xr3:uid="{00000000-0010-0000-0300-000002000000}" name="1" totalsRowFunction="count" dataDxfId="658" totalsRowDxfId="657"/>
    <tableColumn id="3" xr3:uid="{00000000-0010-0000-0300-000003000000}" name="2" totalsRowFunction="count" dataDxfId="656" totalsRowDxfId="655"/>
    <tableColumn id="4" xr3:uid="{00000000-0010-0000-0300-000004000000}" name="3" totalsRowFunction="count" dataDxfId="654" totalsRowDxfId="653"/>
    <tableColumn id="5" xr3:uid="{00000000-0010-0000-0300-000005000000}" name="4" totalsRowFunction="count" dataDxfId="652" totalsRowDxfId="651"/>
    <tableColumn id="6" xr3:uid="{00000000-0010-0000-0300-000006000000}" name="5" totalsRowFunction="count" dataDxfId="650" totalsRowDxfId="649"/>
    <tableColumn id="7" xr3:uid="{00000000-0010-0000-0300-000007000000}" name="6" totalsRowFunction="count" dataDxfId="648" totalsRowDxfId="647"/>
    <tableColumn id="8" xr3:uid="{00000000-0010-0000-0300-000008000000}" name="7" totalsRowFunction="count" dataDxfId="646" totalsRowDxfId="645"/>
    <tableColumn id="9" xr3:uid="{00000000-0010-0000-0300-000009000000}" name="8" totalsRowFunction="count" dataDxfId="644" totalsRowDxfId="643"/>
    <tableColumn id="10" xr3:uid="{00000000-0010-0000-0300-00000A000000}" name="9" totalsRowFunction="count" dataDxfId="642" totalsRowDxfId="641"/>
    <tableColumn id="11" xr3:uid="{00000000-0010-0000-0300-00000B000000}" name="10" totalsRowFunction="count" dataDxfId="640" totalsRowDxfId="639"/>
    <tableColumn id="12" xr3:uid="{00000000-0010-0000-0300-00000C000000}" name="11" totalsRowFunction="count" dataDxfId="638" totalsRowDxfId="637"/>
    <tableColumn id="13" xr3:uid="{00000000-0010-0000-0300-00000D000000}" name="12" totalsRowFunction="count" dataDxfId="636" totalsRowDxfId="635"/>
    <tableColumn id="14" xr3:uid="{00000000-0010-0000-0300-00000E000000}" name="13" totalsRowFunction="count" dataDxfId="634" totalsRowDxfId="633"/>
    <tableColumn id="15" xr3:uid="{00000000-0010-0000-0300-00000F000000}" name="14" totalsRowFunction="count" dataDxfId="632" totalsRowDxfId="631"/>
    <tableColumn id="16" xr3:uid="{00000000-0010-0000-0300-000010000000}" name="15" totalsRowFunction="count" dataDxfId="630" totalsRowDxfId="629"/>
    <tableColumn id="17" xr3:uid="{00000000-0010-0000-0300-000011000000}" name="16" totalsRowFunction="count" dataDxfId="628" totalsRowDxfId="627"/>
    <tableColumn id="18" xr3:uid="{00000000-0010-0000-0300-000012000000}" name="17" totalsRowFunction="count" dataDxfId="626" totalsRowDxfId="625"/>
    <tableColumn id="19" xr3:uid="{00000000-0010-0000-0300-000013000000}" name="18" totalsRowFunction="count" dataDxfId="624" totalsRowDxfId="623"/>
    <tableColumn id="20" xr3:uid="{00000000-0010-0000-0300-000014000000}" name="19" totalsRowFunction="count" dataDxfId="622" totalsRowDxfId="621"/>
    <tableColumn id="21" xr3:uid="{00000000-0010-0000-0300-000015000000}" name="20" totalsRowFunction="count" dataDxfId="620" totalsRowDxfId="619"/>
    <tableColumn id="22" xr3:uid="{00000000-0010-0000-0300-000016000000}" name="21" totalsRowFunction="count" dataDxfId="618" totalsRowDxfId="617"/>
    <tableColumn id="23" xr3:uid="{00000000-0010-0000-0300-000017000000}" name="22" totalsRowFunction="count" dataDxfId="616" totalsRowDxfId="615"/>
    <tableColumn id="24" xr3:uid="{00000000-0010-0000-0300-000018000000}" name="23" totalsRowFunction="count" dataDxfId="614" totalsRowDxfId="613"/>
    <tableColumn id="25" xr3:uid="{00000000-0010-0000-0300-000019000000}" name="24" totalsRowFunction="count" dataDxfId="612" totalsRowDxfId="611"/>
    <tableColumn id="26" xr3:uid="{00000000-0010-0000-0300-00001A000000}" name="25" totalsRowFunction="count" dataDxfId="610" totalsRowDxfId="609"/>
    <tableColumn id="27" xr3:uid="{00000000-0010-0000-0300-00001B000000}" name="26" totalsRowFunction="count" dataDxfId="608" totalsRowDxfId="607"/>
    <tableColumn id="28" xr3:uid="{00000000-0010-0000-0300-00001C000000}" name="27" totalsRowFunction="count" dataDxfId="606" totalsRowDxfId="605"/>
    <tableColumn id="29" xr3:uid="{00000000-0010-0000-0300-00001D000000}" name="28" totalsRowFunction="count" dataDxfId="604" totalsRowDxfId="603"/>
    <tableColumn id="30" xr3:uid="{00000000-0010-0000-0300-00001E000000}" name="29" totalsRowFunction="count" dataDxfId="602" totalsRowDxfId="601"/>
    <tableColumn id="31" xr3:uid="{00000000-0010-0000-0300-00001F000000}" name="30" totalsRowFunction="sum" dataDxfId="600" totalsRowDxfId="599"/>
    <tableColumn id="32" xr3:uid="{00000000-0010-0000-0300-000020000000}" name="31" totalsRowFunction="sum" dataDxfId="598" totalsRowDxfId="597" dataCellStyle="Total"/>
    <tableColumn id="33" xr3:uid="{00000000-0010-0000-0300-000021000000}" name="Total Days" totalsRowFunction="sum" dataDxfId="596" totalsRowDxfId="595" dataCellStyle="Total">
      <calculatedColumnFormula>COUNTA(April[[#This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May" displayName="May" ref="B6:AH12" totalsRowCount="1" headerRowDxfId="589" dataDxfId="588" totalsRowDxfId="587">
  <tableColumns count="33">
    <tableColumn id="1" xr3:uid="{00000000-0010-0000-0400-000001000000}" name="Employee Name" totalsRowFunction="custom" dataDxfId="586" totalsRowDxfId="585" dataCellStyle="Employee">
      <totalsRowFormula>MonthName&amp;" Total"</totalsRowFormula>
    </tableColumn>
    <tableColumn id="2" xr3:uid="{00000000-0010-0000-0400-000002000000}" name="1" totalsRowFunction="count" dataDxfId="584" totalsRowDxfId="583"/>
    <tableColumn id="3" xr3:uid="{00000000-0010-0000-0400-000003000000}" name="2" totalsRowFunction="count" dataDxfId="582" totalsRowDxfId="581"/>
    <tableColumn id="4" xr3:uid="{00000000-0010-0000-0400-000004000000}" name="3" totalsRowFunction="count" dataDxfId="580" totalsRowDxfId="579"/>
    <tableColumn id="5" xr3:uid="{00000000-0010-0000-0400-000005000000}" name="4" totalsRowFunction="count" dataDxfId="578" totalsRowDxfId="577"/>
    <tableColumn id="6" xr3:uid="{00000000-0010-0000-0400-000006000000}" name="5" totalsRowFunction="count" dataDxfId="576" totalsRowDxfId="575"/>
    <tableColumn id="7" xr3:uid="{00000000-0010-0000-0400-000007000000}" name="6" totalsRowFunction="count" dataDxfId="574" totalsRowDxfId="573"/>
    <tableColumn id="8" xr3:uid="{00000000-0010-0000-0400-000008000000}" name="7" totalsRowFunction="count" dataDxfId="572" totalsRowDxfId="571"/>
    <tableColumn id="9" xr3:uid="{00000000-0010-0000-0400-000009000000}" name="8" totalsRowFunction="count" dataDxfId="570" totalsRowDxfId="569"/>
    <tableColumn id="10" xr3:uid="{00000000-0010-0000-0400-00000A000000}" name="9" totalsRowFunction="count" dataDxfId="568" totalsRowDxfId="567"/>
    <tableColumn id="11" xr3:uid="{00000000-0010-0000-0400-00000B000000}" name="10" totalsRowFunction="count" dataDxfId="566" totalsRowDxfId="565"/>
    <tableColumn id="12" xr3:uid="{00000000-0010-0000-0400-00000C000000}" name="11" totalsRowFunction="count" dataDxfId="564" totalsRowDxfId="563"/>
    <tableColumn id="13" xr3:uid="{00000000-0010-0000-0400-00000D000000}" name="12" totalsRowFunction="count" dataDxfId="562" totalsRowDxfId="561"/>
    <tableColumn id="14" xr3:uid="{00000000-0010-0000-0400-00000E000000}" name="13" totalsRowFunction="count" dataDxfId="560" totalsRowDxfId="559"/>
    <tableColumn id="15" xr3:uid="{00000000-0010-0000-0400-00000F000000}" name="14" totalsRowFunction="count" dataDxfId="558" totalsRowDxfId="557"/>
    <tableColumn id="16" xr3:uid="{00000000-0010-0000-0400-000010000000}" name="15" totalsRowFunction="count" dataDxfId="556" totalsRowDxfId="555"/>
    <tableColumn id="17" xr3:uid="{00000000-0010-0000-0400-000011000000}" name="16" totalsRowFunction="count" dataDxfId="554" totalsRowDxfId="553"/>
    <tableColumn id="18" xr3:uid="{00000000-0010-0000-0400-000012000000}" name="17" totalsRowFunction="count" dataDxfId="552" totalsRowDxfId="551"/>
    <tableColumn id="19" xr3:uid="{00000000-0010-0000-0400-000013000000}" name="18" totalsRowFunction="count" dataDxfId="550" totalsRowDxfId="549"/>
    <tableColumn id="20" xr3:uid="{00000000-0010-0000-0400-000014000000}" name="19" totalsRowFunction="count" dataDxfId="548" totalsRowDxfId="547"/>
    <tableColumn id="21" xr3:uid="{00000000-0010-0000-0400-000015000000}" name="20" totalsRowFunction="count" dataDxfId="546" totalsRowDxfId="545"/>
    <tableColumn id="22" xr3:uid="{00000000-0010-0000-0400-000016000000}" name="21" totalsRowFunction="count" dataDxfId="544" totalsRowDxfId="543"/>
    <tableColumn id="23" xr3:uid="{00000000-0010-0000-0400-000017000000}" name="22" totalsRowFunction="count" dataDxfId="542" totalsRowDxfId="541"/>
    <tableColumn id="24" xr3:uid="{00000000-0010-0000-0400-000018000000}" name="23" totalsRowFunction="count" dataDxfId="540" totalsRowDxfId="539"/>
    <tableColumn id="25" xr3:uid="{00000000-0010-0000-0400-000019000000}" name="24" totalsRowFunction="count" dataDxfId="538" totalsRowDxfId="537"/>
    <tableColumn id="26" xr3:uid="{00000000-0010-0000-0400-00001A000000}" name="25" totalsRowFunction="count" dataDxfId="536" totalsRowDxfId="535"/>
    <tableColumn id="27" xr3:uid="{00000000-0010-0000-0400-00001B000000}" name="26" totalsRowFunction="count" dataDxfId="534" totalsRowDxfId="533"/>
    <tableColumn id="28" xr3:uid="{00000000-0010-0000-0400-00001C000000}" name="27" totalsRowFunction="count" dataDxfId="532" totalsRowDxfId="531"/>
    <tableColumn id="29" xr3:uid="{00000000-0010-0000-0400-00001D000000}" name="28" totalsRowFunction="count" dataDxfId="530" totalsRowDxfId="529"/>
    <tableColumn id="30" xr3:uid="{00000000-0010-0000-0400-00001E000000}" name="29" totalsRowFunction="count" dataDxfId="528" totalsRowDxfId="527"/>
    <tableColumn id="31" xr3:uid="{00000000-0010-0000-0400-00001F000000}" name="30" totalsRowFunction="sum" dataDxfId="526" totalsRowDxfId="525"/>
    <tableColumn id="32" xr3:uid="{00000000-0010-0000-0400-000020000000}" name="31" totalsRowFunction="sum" dataDxfId="524" totalsRowDxfId="523" dataCellStyle="Total"/>
    <tableColumn id="33" xr3:uid="{00000000-0010-0000-0400-000021000000}" name="Total Days" totalsRowFunction="sum" dataDxfId="522" totalsRowDxfId="521" dataCellStyle="Total">
      <calculatedColumnFormula>COUNTA(May[[#This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June" displayName="June" ref="B6:AH12" totalsRowCount="1" headerRowDxfId="515" dataDxfId="514" totalsRowDxfId="513">
  <tableColumns count="33">
    <tableColumn id="1" xr3:uid="{00000000-0010-0000-0500-000001000000}" name="Employee Name" totalsRowFunction="custom" dataDxfId="512" totalsRowDxfId="511" dataCellStyle="Employee">
      <totalsRowFormula>MonthName&amp;" Total"</totalsRowFormula>
    </tableColumn>
    <tableColumn id="2" xr3:uid="{00000000-0010-0000-0500-000002000000}" name="1" totalsRowFunction="count" dataDxfId="510" totalsRowDxfId="509"/>
    <tableColumn id="3" xr3:uid="{00000000-0010-0000-0500-000003000000}" name="2" totalsRowFunction="count" dataDxfId="508" totalsRowDxfId="507"/>
    <tableColumn id="4" xr3:uid="{00000000-0010-0000-0500-000004000000}" name="3" totalsRowFunction="count" dataDxfId="506" totalsRowDxfId="505"/>
    <tableColumn id="5" xr3:uid="{00000000-0010-0000-0500-000005000000}" name="4" totalsRowFunction="count" dataDxfId="504" totalsRowDxfId="503"/>
    <tableColumn id="6" xr3:uid="{00000000-0010-0000-0500-000006000000}" name="5" totalsRowFunction="count" dataDxfId="502" totalsRowDxfId="501"/>
    <tableColumn id="7" xr3:uid="{00000000-0010-0000-0500-000007000000}" name="6" totalsRowFunction="count" dataDxfId="500" totalsRowDxfId="499"/>
    <tableColumn id="8" xr3:uid="{00000000-0010-0000-0500-000008000000}" name="7" totalsRowFunction="count" dataDxfId="498" totalsRowDxfId="497"/>
    <tableColumn id="9" xr3:uid="{00000000-0010-0000-0500-000009000000}" name="8" totalsRowFunction="count" dataDxfId="496" totalsRowDxfId="495"/>
    <tableColumn id="10" xr3:uid="{00000000-0010-0000-0500-00000A000000}" name="9" totalsRowFunction="count" dataDxfId="494" totalsRowDxfId="493"/>
    <tableColumn id="11" xr3:uid="{00000000-0010-0000-0500-00000B000000}" name="10" totalsRowFunction="count" dataDxfId="492" totalsRowDxfId="491"/>
    <tableColumn id="12" xr3:uid="{00000000-0010-0000-0500-00000C000000}" name="11" totalsRowFunction="count" dataDxfId="490" totalsRowDxfId="489"/>
    <tableColumn id="13" xr3:uid="{00000000-0010-0000-0500-00000D000000}" name="12" totalsRowFunction="count" dataDxfId="488" totalsRowDxfId="487"/>
    <tableColumn id="14" xr3:uid="{00000000-0010-0000-0500-00000E000000}" name="13" totalsRowFunction="count" dataDxfId="486" totalsRowDxfId="485"/>
    <tableColumn id="15" xr3:uid="{00000000-0010-0000-0500-00000F000000}" name="14" totalsRowFunction="count" dataDxfId="484" totalsRowDxfId="483"/>
    <tableColumn id="16" xr3:uid="{00000000-0010-0000-0500-000010000000}" name="15" totalsRowFunction="count" dataDxfId="482" totalsRowDxfId="481"/>
    <tableColumn id="17" xr3:uid="{00000000-0010-0000-0500-000011000000}" name="16" totalsRowFunction="count" dataDxfId="480" totalsRowDxfId="479"/>
    <tableColumn id="18" xr3:uid="{00000000-0010-0000-0500-000012000000}" name="17" totalsRowFunction="count" dataDxfId="478" totalsRowDxfId="477"/>
    <tableColumn id="19" xr3:uid="{00000000-0010-0000-0500-000013000000}" name="18" totalsRowFunction="count" dataDxfId="476" totalsRowDxfId="475"/>
    <tableColumn id="20" xr3:uid="{00000000-0010-0000-0500-000014000000}" name="19" totalsRowFunction="count" dataDxfId="474" totalsRowDxfId="473"/>
    <tableColumn id="21" xr3:uid="{00000000-0010-0000-0500-000015000000}" name="20" totalsRowFunction="count" dataDxfId="472" totalsRowDxfId="471"/>
    <tableColumn id="22" xr3:uid="{00000000-0010-0000-0500-000016000000}" name="21" totalsRowFunction="count" dataDxfId="470" totalsRowDxfId="469"/>
    <tableColumn id="23" xr3:uid="{00000000-0010-0000-0500-000017000000}" name="22" totalsRowFunction="count" dataDxfId="468" totalsRowDxfId="467"/>
    <tableColumn id="24" xr3:uid="{00000000-0010-0000-0500-000018000000}" name="23" totalsRowFunction="count" dataDxfId="466" totalsRowDxfId="465"/>
    <tableColumn id="25" xr3:uid="{00000000-0010-0000-0500-000019000000}" name="24" totalsRowFunction="count" dataDxfId="464" totalsRowDxfId="463"/>
    <tableColumn id="26" xr3:uid="{00000000-0010-0000-0500-00001A000000}" name="25" totalsRowFunction="count" dataDxfId="462" totalsRowDxfId="461"/>
    <tableColumn id="27" xr3:uid="{00000000-0010-0000-0500-00001B000000}" name="26" totalsRowFunction="count" dataDxfId="460" totalsRowDxfId="459"/>
    <tableColumn id="28" xr3:uid="{00000000-0010-0000-0500-00001C000000}" name="27" totalsRowFunction="count" dataDxfId="458" totalsRowDxfId="457"/>
    <tableColumn id="29" xr3:uid="{00000000-0010-0000-0500-00001D000000}" name="28" totalsRowFunction="count" dataDxfId="456" totalsRowDxfId="455"/>
    <tableColumn id="30" xr3:uid="{00000000-0010-0000-0500-00001E000000}" name="29" totalsRowFunction="count" dataDxfId="454" totalsRowDxfId="453"/>
    <tableColumn id="31" xr3:uid="{00000000-0010-0000-0500-00001F000000}" name="30" totalsRowFunction="sum" dataDxfId="452" totalsRowDxfId="451"/>
    <tableColumn id="32" xr3:uid="{00000000-0010-0000-0500-000020000000}" name="31" totalsRowFunction="sum" dataDxfId="450" totalsRowDxfId="449" dataCellStyle="Total"/>
    <tableColumn id="33" xr3:uid="{00000000-0010-0000-0500-000021000000}" name="Total Days" totalsRowFunction="sum" dataDxfId="448" totalsRowDxfId="447" dataCellStyle="Total">
      <calculatedColumnFormula>COUNTA(June[[#This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July" displayName="July" ref="B6:AH12" totalsRowCount="1" headerRowDxfId="441" dataDxfId="440" totalsRowDxfId="439">
  <tableColumns count="33">
    <tableColumn id="1" xr3:uid="{00000000-0010-0000-0600-000001000000}" name="Employee Name" totalsRowFunction="custom" dataDxfId="438" totalsRowDxfId="437" dataCellStyle="Employee">
      <totalsRowFormula>MonthName&amp;" Total"</totalsRowFormula>
    </tableColumn>
    <tableColumn id="2" xr3:uid="{00000000-0010-0000-0600-000002000000}" name="1" totalsRowFunction="count" dataDxfId="436" totalsRowDxfId="435"/>
    <tableColumn id="3" xr3:uid="{00000000-0010-0000-0600-000003000000}" name="2" totalsRowFunction="count" dataDxfId="434" totalsRowDxfId="433"/>
    <tableColumn id="4" xr3:uid="{00000000-0010-0000-0600-000004000000}" name="3" totalsRowFunction="count" dataDxfId="432" totalsRowDxfId="431"/>
    <tableColumn id="5" xr3:uid="{00000000-0010-0000-0600-000005000000}" name="4" totalsRowFunction="count" dataDxfId="430" totalsRowDxfId="429"/>
    <tableColumn id="6" xr3:uid="{00000000-0010-0000-0600-000006000000}" name="5" totalsRowFunction="count" dataDxfId="428" totalsRowDxfId="427"/>
    <tableColumn id="7" xr3:uid="{00000000-0010-0000-0600-000007000000}" name="6" totalsRowFunction="count" dataDxfId="426" totalsRowDxfId="425"/>
    <tableColumn id="8" xr3:uid="{00000000-0010-0000-0600-000008000000}" name="7" totalsRowFunction="count" dataDxfId="424" totalsRowDxfId="423"/>
    <tableColumn id="9" xr3:uid="{00000000-0010-0000-0600-000009000000}" name="8" totalsRowFunction="count" dataDxfId="422" totalsRowDxfId="421"/>
    <tableColumn id="10" xr3:uid="{00000000-0010-0000-0600-00000A000000}" name="9" totalsRowFunction="count" dataDxfId="420" totalsRowDxfId="419"/>
    <tableColumn id="11" xr3:uid="{00000000-0010-0000-0600-00000B000000}" name="10" totalsRowFunction="count" dataDxfId="418" totalsRowDxfId="417"/>
    <tableColumn id="12" xr3:uid="{00000000-0010-0000-0600-00000C000000}" name="11" totalsRowFunction="count" dataDxfId="416" totalsRowDxfId="415"/>
    <tableColumn id="13" xr3:uid="{00000000-0010-0000-0600-00000D000000}" name="12" totalsRowFunction="count" dataDxfId="414" totalsRowDxfId="413"/>
    <tableColumn id="14" xr3:uid="{00000000-0010-0000-0600-00000E000000}" name="13" totalsRowFunction="count" dataDxfId="412" totalsRowDxfId="411"/>
    <tableColumn id="15" xr3:uid="{00000000-0010-0000-0600-00000F000000}" name="14" totalsRowFunction="count" dataDxfId="410" totalsRowDxfId="409"/>
    <tableColumn id="16" xr3:uid="{00000000-0010-0000-0600-000010000000}" name="15" totalsRowFunction="count" dataDxfId="408" totalsRowDxfId="407"/>
    <tableColumn id="17" xr3:uid="{00000000-0010-0000-0600-000011000000}" name="16" totalsRowFunction="count" dataDxfId="406" totalsRowDxfId="405"/>
    <tableColumn id="18" xr3:uid="{00000000-0010-0000-0600-000012000000}" name="17" totalsRowFunction="count" dataDxfId="404" totalsRowDxfId="403"/>
    <tableColumn id="19" xr3:uid="{00000000-0010-0000-0600-000013000000}" name="18" totalsRowFunction="count" dataDxfId="402" totalsRowDxfId="401"/>
    <tableColumn id="20" xr3:uid="{00000000-0010-0000-0600-000014000000}" name="19" totalsRowFunction="count" dataDxfId="400" totalsRowDxfId="399"/>
    <tableColumn id="21" xr3:uid="{00000000-0010-0000-0600-000015000000}" name="20" totalsRowFunction="count" dataDxfId="398" totalsRowDxfId="397"/>
    <tableColumn id="22" xr3:uid="{00000000-0010-0000-0600-000016000000}" name="21" totalsRowFunction="count" dataDxfId="396" totalsRowDxfId="395"/>
    <tableColumn id="23" xr3:uid="{00000000-0010-0000-0600-000017000000}" name="22" totalsRowFunction="count" dataDxfId="394" totalsRowDxfId="393"/>
    <tableColumn id="24" xr3:uid="{00000000-0010-0000-0600-000018000000}" name="23" totalsRowFunction="count" dataDxfId="392" totalsRowDxfId="391"/>
    <tableColumn id="25" xr3:uid="{00000000-0010-0000-0600-000019000000}" name="24" totalsRowFunction="count" dataDxfId="390" totalsRowDxfId="389"/>
    <tableColumn id="26" xr3:uid="{00000000-0010-0000-0600-00001A000000}" name="25" totalsRowFunction="count" dataDxfId="388" totalsRowDxfId="387"/>
    <tableColumn id="27" xr3:uid="{00000000-0010-0000-0600-00001B000000}" name="26" totalsRowFunction="count" dataDxfId="386" totalsRowDxfId="385"/>
    <tableColumn id="28" xr3:uid="{00000000-0010-0000-0600-00001C000000}" name="27" totalsRowFunction="count" dataDxfId="384" totalsRowDxfId="383"/>
    <tableColumn id="29" xr3:uid="{00000000-0010-0000-0600-00001D000000}" name="28" totalsRowFunction="count" dataDxfId="382" totalsRowDxfId="381"/>
    <tableColumn id="30" xr3:uid="{00000000-0010-0000-0600-00001E000000}" name="29" totalsRowFunction="count" dataDxfId="380" totalsRowDxfId="379"/>
    <tableColumn id="31" xr3:uid="{00000000-0010-0000-0600-00001F000000}" name="30" totalsRowFunction="sum" dataDxfId="378" totalsRowDxfId="377"/>
    <tableColumn id="32" xr3:uid="{00000000-0010-0000-0600-000020000000}" name="31" totalsRowFunction="sum" dataDxfId="376" totalsRowDxfId="375" dataCellStyle="Total"/>
    <tableColumn id="33" xr3:uid="{00000000-0010-0000-0600-000021000000}" name="Total Days" totalsRowFunction="sum" dataDxfId="374" totalsRowDxfId="373" dataCellStyle="Total">
      <calculatedColumnFormula>COUNTA(July[[#This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August" displayName="August" ref="B6:AH12" totalsRowCount="1" headerRowDxfId="367" dataDxfId="366" totalsRowDxfId="365">
  <tableColumns count="33">
    <tableColumn id="1" xr3:uid="{00000000-0010-0000-0700-000001000000}" name="Employee Name" totalsRowFunction="custom" dataDxfId="364" totalsRowDxfId="363" dataCellStyle="Employee">
      <totalsRowFormula>MonthName&amp;" Total"</totalsRowFormula>
    </tableColumn>
    <tableColumn id="2" xr3:uid="{00000000-0010-0000-0700-000002000000}" name="1" totalsRowFunction="count" dataDxfId="362" totalsRowDxfId="361"/>
    <tableColumn id="3" xr3:uid="{00000000-0010-0000-0700-000003000000}" name="2" totalsRowFunction="count" dataDxfId="360" totalsRowDxfId="359"/>
    <tableColumn id="4" xr3:uid="{00000000-0010-0000-0700-000004000000}" name="3" totalsRowFunction="count" dataDxfId="358" totalsRowDxfId="357"/>
    <tableColumn id="5" xr3:uid="{00000000-0010-0000-0700-000005000000}" name="4" totalsRowFunction="count" dataDxfId="356" totalsRowDxfId="355"/>
    <tableColumn id="6" xr3:uid="{00000000-0010-0000-0700-000006000000}" name="5" totalsRowFunction="count" dataDxfId="354" totalsRowDxfId="353"/>
    <tableColumn id="7" xr3:uid="{00000000-0010-0000-0700-000007000000}" name="6" totalsRowFunction="count" dataDxfId="352" totalsRowDxfId="351"/>
    <tableColumn id="8" xr3:uid="{00000000-0010-0000-0700-000008000000}" name="7" totalsRowFunction="count" dataDxfId="350" totalsRowDxfId="349"/>
    <tableColumn id="9" xr3:uid="{00000000-0010-0000-0700-000009000000}" name="8" totalsRowFunction="count" dataDxfId="348" totalsRowDxfId="347"/>
    <tableColumn id="10" xr3:uid="{00000000-0010-0000-0700-00000A000000}" name="9" totalsRowFunction="count" dataDxfId="346" totalsRowDxfId="345"/>
    <tableColumn id="11" xr3:uid="{00000000-0010-0000-0700-00000B000000}" name="10" totalsRowFunction="count" dataDxfId="344" totalsRowDxfId="343"/>
    <tableColumn id="12" xr3:uid="{00000000-0010-0000-0700-00000C000000}" name="11" totalsRowFunction="count" dataDxfId="342" totalsRowDxfId="341"/>
    <tableColumn id="13" xr3:uid="{00000000-0010-0000-0700-00000D000000}" name="12" totalsRowFunction="count" dataDxfId="340" totalsRowDxfId="339"/>
    <tableColumn id="14" xr3:uid="{00000000-0010-0000-0700-00000E000000}" name="13" totalsRowFunction="count" dataDxfId="338" totalsRowDxfId="337"/>
    <tableColumn id="15" xr3:uid="{00000000-0010-0000-0700-00000F000000}" name="14" totalsRowFunction="count" dataDxfId="336" totalsRowDxfId="335"/>
    <tableColumn id="16" xr3:uid="{00000000-0010-0000-0700-000010000000}" name="15" totalsRowFunction="count" dataDxfId="334" totalsRowDxfId="333"/>
    <tableColumn id="17" xr3:uid="{00000000-0010-0000-0700-000011000000}" name="16" totalsRowFunction="count" dataDxfId="332" totalsRowDxfId="331"/>
    <tableColumn id="18" xr3:uid="{00000000-0010-0000-0700-000012000000}" name="17" totalsRowFunction="count" dataDxfId="330" totalsRowDxfId="329"/>
    <tableColumn id="19" xr3:uid="{00000000-0010-0000-0700-000013000000}" name="18" totalsRowFunction="count" dataDxfId="328" totalsRowDxfId="327"/>
    <tableColumn id="20" xr3:uid="{00000000-0010-0000-0700-000014000000}" name="19" totalsRowFunction="count" dataDxfId="326" totalsRowDxfId="325"/>
    <tableColumn id="21" xr3:uid="{00000000-0010-0000-0700-000015000000}" name="20" totalsRowFunction="count" dataDxfId="324" totalsRowDxfId="323"/>
    <tableColumn id="22" xr3:uid="{00000000-0010-0000-0700-000016000000}" name="21" totalsRowFunction="count" dataDxfId="322" totalsRowDxfId="321"/>
    <tableColumn id="23" xr3:uid="{00000000-0010-0000-0700-000017000000}" name="22" totalsRowFunction="count" dataDxfId="320" totalsRowDxfId="319"/>
    <tableColumn id="24" xr3:uid="{00000000-0010-0000-0700-000018000000}" name="23" totalsRowFunction="count" dataDxfId="318" totalsRowDxfId="317"/>
    <tableColumn id="25" xr3:uid="{00000000-0010-0000-0700-000019000000}" name="24" totalsRowFunction="count" dataDxfId="316" totalsRowDxfId="315"/>
    <tableColumn id="26" xr3:uid="{00000000-0010-0000-0700-00001A000000}" name="25" totalsRowFunction="count" dataDxfId="314" totalsRowDxfId="313"/>
    <tableColumn id="27" xr3:uid="{00000000-0010-0000-0700-00001B000000}" name="26" totalsRowFunction="count" dataDxfId="312" totalsRowDxfId="311"/>
    <tableColumn id="28" xr3:uid="{00000000-0010-0000-0700-00001C000000}" name="27" totalsRowFunction="count" dataDxfId="310" totalsRowDxfId="309"/>
    <tableColumn id="29" xr3:uid="{00000000-0010-0000-0700-00001D000000}" name="28" totalsRowFunction="count" dataDxfId="308" totalsRowDxfId="307"/>
    <tableColumn id="30" xr3:uid="{00000000-0010-0000-0700-00001E000000}" name="29" totalsRowFunction="count" dataDxfId="306" totalsRowDxfId="305"/>
    <tableColumn id="31" xr3:uid="{00000000-0010-0000-0700-00001F000000}" name="30" totalsRowFunction="sum" dataDxfId="304" totalsRowDxfId="303"/>
    <tableColumn id="32" xr3:uid="{00000000-0010-0000-0700-000020000000}" name="31" totalsRowFunction="sum" dataDxfId="302" totalsRowDxfId="301" dataCellStyle="Total"/>
    <tableColumn id="33" xr3:uid="{00000000-0010-0000-0700-000021000000}" name="Total Days" totalsRowFunction="sum" dataDxfId="300" totalsRowDxfId="299" dataCellStyle="Total">
      <calculatedColumnFormula>COUNTA(August[[#This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September" displayName="September" ref="B6:AH12" totalsRowCount="1" headerRowDxfId="293" dataDxfId="292" totalsRowDxfId="291">
  <tableColumns count="33">
    <tableColumn id="1" xr3:uid="{00000000-0010-0000-0800-000001000000}" name="Employee Name" totalsRowFunction="custom" dataDxfId="290" totalsRowDxfId="289" dataCellStyle="Employee">
      <totalsRowFormula>MonthName&amp;" Total"</totalsRowFormula>
    </tableColumn>
    <tableColumn id="2" xr3:uid="{00000000-0010-0000-0800-000002000000}" name="1" totalsRowFunction="count" dataDxfId="288" totalsRowDxfId="287"/>
    <tableColumn id="3" xr3:uid="{00000000-0010-0000-0800-000003000000}" name="2" totalsRowFunction="count" dataDxfId="286" totalsRowDxfId="285"/>
    <tableColumn id="4" xr3:uid="{00000000-0010-0000-0800-000004000000}" name="3" totalsRowFunction="count" dataDxfId="284" totalsRowDxfId="283"/>
    <tableColumn id="5" xr3:uid="{00000000-0010-0000-0800-000005000000}" name="4" totalsRowFunction="count" dataDxfId="282" totalsRowDxfId="281"/>
    <tableColumn id="6" xr3:uid="{00000000-0010-0000-0800-000006000000}" name="5" totalsRowFunction="count" dataDxfId="280" totalsRowDxfId="279"/>
    <tableColumn id="7" xr3:uid="{00000000-0010-0000-0800-000007000000}" name="6" totalsRowFunction="count" dataDxfId="278" totalsRowDxfId="277"/>
    <tableColumn id="8" xr3:uid="{00000000-0010-0000-0800-000008000000}" name="7" totalsRowFunction="count" dataDxfId="276" totalsRowDxfId="275"/>
    <tableColumn id="9" xr3:uid="{00000000-0010-0000-0800-000009000000}" name="8" totalsRowFunction="count" dataDxfId="274" totalsRowDxfId="273"/>
    <tableColumn id="10" xr3:uid="{00000000-0010-0000-0800-00000A000000}" name="9" totalsRowFunction="count" dataDxfId="272" totalsRowDxfId="271"/>
    <tableColumn id="11" xr3:uid="{00000000-0010-0000-0800-00000B000000}" name="10" totalsRowFunction="count" dataDxfId="270" totalsRowDxfId="269"/>
    <tableColumn id="12" xr3:uid="{00000000-0010-0000-0800-00000C000000}" name="11" totalsRowFunction="count" dataDxfId="268" totalsRowDxfId="267"/>
    <tableColumn id="13" xr3:uid="{00000000-0010-0000-0800-00000D000000}" name="12" totalsRowFunction="count" dataDxfId="266" totalsRowDxfId="265"/>
    <tableColumn id="14" xr3:uid="{00000000-0010-0000-0800-00000E000000}" name="13" totalsRowFunction="count" dataDxfId="264" totalsRowDxfId="263"/>
    <tableColumn id="15" xr3:uid="{00000000-0010-0000-0800-00000F000000}" name="14" totalsRowFunction="count" dataDxfId="262" totalsRowDxfId="261"/>
    <tableColumn id="16" xr3:uid="{00000000-0010-0000-0800-000010000000}" name="15" totalsRowFunction="count" dataDxfId="260" totalsRowDxfId="259"/>
    <tableColumn id="17" xr3:uid="{00000000-0010-0000-0800-000011000000}" name="16" totalsRowFunction="count" dataDxfId="258" totalsRowDxfId="257"/>
    <tableColumn id="18" xr3:uid="{00000000-0010-0000-0800-000012000000}" name="17" totalsRowFunction="count" dataDxfId="256" totalsRowDxfId="255"/>
    <tableColumn id="19" xr3:uid="{00000000-0010-0000-0800-000013000000}" name="18" totalsRowFunction="count" dataDxfId="254" totalsRowDxfId="253"/>
    <tableColumn id="20" xr3:uid="{00000000-0010-0000-0800-000014000000}" name="19" totalsRowFunction="count" dataDxfId="252" totalsRowDxfId="251"/>
    <tableColumn id="21" xr3:uid="{00000000-0010-0000-0800-000015000000}" name="20" totalsRowFunction="count" dataDxfId="250" totalsRowDxfId="249"/>
    <tableColumn id="22" xr3:uid="{00000000-0010-0000-0800-000016000000}" name="21" totalsRowFunction="count" dataDxfId="248" totalsRowDxfId="247"/>
    <tableColumn id="23" xr3:uid="{00000000-0010-0000-0800-000017000000}" name="22" totalsRowFunction="count" dataDxfId="246" totalsRowDxfId="245"/>
    <tableColumn id="24" xr3:uid="{00000000-0010-0000-0800-000018000000}" name="23" totalsRowFunction="count" dataDxfId="244" totalsRowDxfId="243"/>
    <tableColumn id="25" xr3:uid="{00000000-0010-0000-0800-000019000000}" name="24" totalsRowFunction="count" dataDxfId="242" totalsRowDxfId="241"/>
    <tableColumn id="26" xr3:uid="{00000000-0010-0000-0800-00001A000000}" name="25" totalsRowFunction="count" dataDxfId="240" totalsRowDxfId="239"/>
    <tableColumn id="27" xr3:uid="{00000000-0010-0000-0800-00001B000000}" name="26" totalsRowFunction="count" dataDxfId="238" totalsRowDxfId="237"/>
    <tableColumn id="28" xr3:uid="{00000000-0010-0000-0800-00001C000000}" name="27" totalsRowFunction="count" dataDxfId="236" totalsRowDxfId="235"/>
    <tableColumn id="29" xr3:uid="{00000000-0010-0000-0800-00001D000000}" name="28" totalsRowFunction="count" dataDxfId="234" totalsRowDxfId="233"/>
    <tableColumn id="30" xr3:uid="{00000000-0010-0000-0800-00001E000000}" name="29" totalsRowFunction="count" dataDxfId="232" totalsRowDxfId="231"/>
    <tableColumn id="31" xr3:uid="{00000000-0010-0000-0800-00001F000000}" name="30" totalsRowFunction="sum" dataDxfId="230" totalsRowDxfId="229"/>
    <tableColumn id="32" xr3:uid="{00000000-0010-0000-0800-000020000000}" name="31" totalsRowFunction="sum" dataDxfId="228" totalsRowDxfId="227" dataCellStyle="Total"/>
    <tableColumn id="33" xr3:uid="{00000000-0010-0000-0800-000021000000}" name="Total Days" totalsRowFunction="sum" dataDxfId="226" totalsRowDxfId="225" dataCellStyle="Total">
      <calculatedColumnFormula>COUNTA(September[[#This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as per the key in row 12: H=Holiday, S=Sick, P=Personal and two placeholders for custom entries"/>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89999084444715716"/>
    <pageSetUpPr fitToPage="1"/>
  </sheetPr>
  <dimension ref="A1:AH12"/>
  <sheetViews>
    <sheetView showGridLines="0" tabSelected="1" topLeftCell="U1" zoomScale="138" zoomScaleNormal="138" workbookViewId="0">
      <selection activeCell="AJ2" sqref="AJ2"/>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1:34" ht="50" customHeight="1" x14ac:dyDescent="0.2">
      <c r="A1" s="1"/>
      <c r="B1" s="2" t="s">
        <v>0</v>
      </c>
      <c r="AD1"/>
    </row>
    <row r="2" spans="1: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1:34" ht="15" customHeight="1" x14ac:dyDescent="0.15">
      <c r="AH3" s="11" t="s">
        <v>49</v>
      </c>
    </row>
    <row r="4" spans="1:34" ht="30" customHeight="1" x14ac:dyDescent="0.2">
      <c r="B4" s="12" t="s">
        <v>2</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v>2022</v>
      </c>
    </row>
    <row r="5" spans="1:34" ht="15" customHeight="1" x14ac:dyDescent="0.2">
      <c r="B5" s="12"/>
      <c r="C5" s="13" t="str">
        <f>TEXT(WEEKDAY(DATE(CalendarYear,1,1),1),"aaa")</f>
        <v>Sat</v>
      </c>
      <c r="D5" s="13" t="str">
        <f>TEXT(WEEKDAY(DATE(CalendarYear,1,2),1),"aaa")</f>
        <v>Sun</v>
      </c>
      <c r="E5" s="13" t="str">
        <f>TEXT(WEEKDAY(DATE(CalendarYear,1,3),1),"aaa")</f>
        <v>Mon</v>
      </c>
      <c r="F5" s="13" t="str">
        <f>TEXT(WEEKDAY(DATE(CalendarYear,1,4),1),"aaa")</f>
        <v>Tue</v>
      </c>
      <c r="G5" s="13" t="str">
        <f>TEXT(WEEKDAY(DATE(CalendarYear,1,5),1),"aaa")</f>
        <v>Wed</v>
      </c>
      <c r="H5" s="13" t="str">
        <f>TEXT(WEEKDAY(DATE(CalendarYear,1,6),1),"aaa")</f>
        <v>Thu</v>
      </c>
      <c r="I5" s="13" t="str">
        <f>TEXT(WEEKDAY(DATE(CalendarYear,1,7),1),"aaa")</f>
        <v>Fri</v>
      </c>
      <c r="J5" s="13" t="str">
        <f>TEXT(WEEKDAY(DATE(CalendarYear,1,8),1),"aaa")</f>
        <v>Sat</v>
      </c>
      <c r="K5" s="13" t="str">
        <f>TEXT(WEEKDAY(DATE(CalendarYear,1,9),1),"aaa")</f>
        <v>Sun</v>
      </c>
      <c r="L5" s="13" t="str">
        <f>TEXT(WEEKDAY(DATE(CalendarYear,1,10),1),"aaa")</f>
        <v>Mon</v>
      </c>
      <c r="M5" s="13" t="str">
        <f>TEXT(WEEKDAY(DATE(CalendarYear,1,11),1),"aaa")</f>
        <v>Tue</v>
      </c>
      <c r="N5" s="13" t="str">
        <f>TEXT(WEEKDAY(DATE(CalendarYear,1,12),1),"aaa")</f>
        <v>Wed</v>
      </c>
      <c r="O5" s="13" t="str">
        <f>TEXT(WEEKDAY(DATE(CalendarYear,1,13),1),"aaa")</f>
        <v>Thu</v>
      </c>
      <c r="P5" s="13" t="str">
        <f>TEXT(WEEKDAY(DATE(CalendarYear,1,14),1),"aaa")</f>
        <v>Fri</v>
      </c>
      <c r="Q5" s="13" t="str">
        <f>TEXT(WEEKDAY(DATE(CalendarYear,1,15),1),"aaa")</f>
        <v>Sat</v>
      </c>
      <c r="R5" s="13" t="str">
        <f>TEXT(WEEKDAY(DATE(CalendarYear,1,16),1),"aaa")</f>
        <v>Sun</v>
      </c>
      <c r="S5" s="13" t="str">
        <f>TEXT(WEEKDAY(DATE(CalendarYear,1,17),1),"aaa")</f>
        <v>Mon</v>
      </c>
      <c r="T5" s="13" t="str">
        <f>TEXT(WEEKDAY(DATE(CalendarYear,1,18),1),"aaa")</f>
        <v>Tue</v>
      </c>
      <c r="U5" s="13" t="str">
        <f>TEXT(WEEKDAY(DATE(CalendarYear,1,19),1),"aaa")</f>
        <v>Wed</v>
      </c>
      <c r="V5" s="13" t="str">
        <f>TEXT(WEEKDAY(DATE(CalendarYear,1,20),1),"aaa")</f>
        <v>Thu</v>
      </c>
      <c r="W5" s="13" t="str">
        <f>TEXT(WEEKDAY(DATE(CalendarYear,1,21),1),"aaa")</f>
        <v>Fri</v>
      </c>
      <c r="X5" s="13" t="str">
        <f>TEXT(WEEKDAY(DATE(CalendarYear,1,22),1),"aaa")</f>
        <v>Sat</v>
      </c>
      <c r="Y5" s="13" t="str">
        <f>TEXT(WEEKDAY(DATE(CalendarYear,1,23),1),"aaa")</f>
        <v>Sun</v>
      </c>
      <c r="Z5" s="13" t="str">
        <f>TEXT(WEEKDAY(DATE(CalendarYear,1,24),1),"aaa")</f>
        <v>Mon</v>
      </c>
      <c r="AA5" s="13" t="str">
        <f>TEXT(WEEKDAY(DATE(CalendarYear,1,25),1),"aaa")</f>
        <v>Tue</v>
      </c>
      <c r="AB5" s="13" t="str">
        <f>TEXT(WEEKDAY(DATE(CalendarYear,1,26),1),"aaa")</f>
        <v>Wed</v>
      </c>
      <c r="AC5" s="13" t="str">
        <f>TEXT(WEEKDAY(DATE(CalendarYear,1,27),1),"aaa")</f>
        <v>Thu</v>
      </c>
      <c r="AD5" s="13" t="str">
        <f>TEXT(WEEKDAY(DATE(CalendarYear,1,28),1),"aaa")</f>
        <v>Fri</v>
      </c>
      <c r="AE5" s="13" t="str">
        <f>TEXT(WEEKDAY(DATE(CalendarYear,1,29),1),"aaa")</f>
        <v>Sat</v>
      </c>
      <c r="AF5" s="13" t="str">
        <f>TEXT(WEEKDAY(DATE(CalendarYear,1,30),1),"aaa")</f>
        <v>Sun</v>
      </c>
      <c r="AG5" s="13" t="str">
        <f>TEXT(WEEKDAY(DATE(CalendarYear,1,31),1),"aaa")</f>
        <v>Mon</v>
      </c>
      <c r="AH5" s="12"/>
    </row>
    <row r="6" spans="1: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1:34" ht="30" customHeight="1" x14ac:dyDescent="0.2">
      <c r="B7" s="17" t="s">
        <v>4</v>
      </c>
      <c r="C7" s="15"/>
      <c r="D7" s="15"/>
      <c r="E7" s="15" t="s">
        <v>9</v>
      </c>
      <c r="F7" s="15" t="s">
        <v>9</v>
      </c>
      <c r="G7" s="15" t="s">
        <v>9</v>
      </c>
      <c r="H7" s="15" t="s">
        <v>9</v>
      </c>
      <c r="I7" s="15"/>
      <c r="J7" s="15"/>
      <c r="K7" s="15"/>
      <c r="L7" s="15"/>
      <c r="M7" s="15"/>
      <c r="N7" s="15"/>
      <c r="O7" s="15" t="s">
        <v>9</v>
      </c>
      <c r="P7" s="15"/>
      <c r="Q7" s="15"/>
      <c r="R7" s="15"/>
      <c r="S7" s="15"/>
      <c r="T7" s="15"/>
      <c r="U7" s="15"/>
      <c r="V7" s="15"/>
      <c r="W7" s="15"/>
      <c r="X7" s="15"/>
      <c r="Y7" s="15"/>
      <c r="Z7" s="15"/>
      <c r="AA7" s="15"/>
      <c r="AB7" s="15"/>
      <c r="AC7" s="15"/>
      <c r="AD7" s="15"/>
      <c r="AE7" s="15"/>
      <c r="AF7" s="15"/>
      <c r="AG7" s="15"/>
      <c r="AH7" s="18">
        <f>COUNTA(January!$C7:$AG7)</f>
        <v>5</v>
      </c>
    </row>
    <row r="8" spans="1:34" ht="30" customHeight="1" x14ac:dyDescent="0.2">
      <c r="B8" s="17" t="s">
        <v>5</v>
      </c>
      <c r="C8" s="15"/>
      <c r="D8" s="15"/>
      <c r="E8" s="15"/>
      <c r="F8" s="15"/>
      <c r="G8" s="15" t="s">
        <v>17</v>
      </c>
      <c r="H8" s="15" t="s">
        <v>17</v>
      </c>
      <c r="I8" s="15"/>
      <c r="J8" s="15"/>
      <c r="K8" s="15"/>
      <c r="L8" s="15"/>
      <c r="M8" s="15" t="s">
        <v>15</v>
      </c>
      <c r="N8" s="15"/>
      <c r="O8" s="15"/>
      <c r="P8" s="15"/>
      <c r="Q8" s="15"/>
      <c r="R8" s="15"/>
      <c r="S8" s="15"/>
      <c r="T8" s="15"/>
      <c r="U8" s="15"/>
      <c r="V8" s="15" t="s">
        <v>17</v>
      </c>
      <c r="W8" s="15"/>
      <c r="X8" s="15"/>
      <c r="Y8" s="15"/>
      <c r="Z8" s="15"/>
      <c r="AA8" s="15" t="s">
        <v>9</v>
      </c>
      <c r="AB8" s="15" t="s">
        <v>9</v>
      </c>
      <c r="AC8" s="15" t="s">
        <v>9</v>
      </c>
      <c r="AD8" s="15"/>
      <c r="AE8" s="15"/>
      <c r="AF8" s="15"/>
      <c r="AG8" s="15"/>
      <c r="AH8" s="18">
        <f>COUNTA(January!$C8:$AG8)</f>
        <v>7</v>
      </c>
    </row>
    <row r="9" spans="1:34" ht="30" customHeight="1" x14ac:dyDescent="0.2">
      <c r="B9" s="17" t="s">
        <v>6</v>
      </c>
      <c r="C9" s="15"/>
      <c r="D9" s="15"/>
      <c r="E9" s="15" t="s">
        <v>15</v>
      </c>
      <c r="F9" s="15"/>
      <c r="G9" s="15"/>
      <c r="H9" s="15"/>
      <c r="I9" s="15"/>
      <c r="J9" s="15"/>
      <c r="K9" s="15"/>
      <c r="L9" s="15"/>
      <c r="M9" s="15"/>
      <c r="N9" s="15"/>
      <c r="O9" s="15"/>
      <c r="P9" s="15" t="s">
        <v>17</v>
      </c>
      <c r="Q9" s="15"/>
      <c r="R9" s="15"/>
      <c r="S9" s="15"/>
      <c r="T9" s="15"/>
      <c r="U9" s="15"/>
      <c r="V9" s="15"/>
      <c r="W9" s="15"/>
      <c r="X9" s="15"/>
      <c r="Y9" s="15"/>
      <c r="Z9" s="15"/>
      <c r="AA9" s="15"/>
      <c r="AB9" s="15"/>
      <c r="AC9" s="15"/>
      <c r="AD9" s="15"/>
      <c r="AE9" s="15" t="s">
        <v>17</v>
      </c>
      <c r="AF9" s="15"/>
      <c r="AG9" s="15"/>
      <c r="AH9" s="18">
        <f>COUNTA(January!$C9:$AG9)</f>
        <v>3</v>
      </c>
    </row>
    <row r="10" spans="1:34" ht="30" customHeight="1" x14ac:dyDescent="0.2">
      <c r="B10" s="17" t="s">
        <v>7</v>
      </c>
      <c r="C10" s="15"/>
      <c r="D10" s="15"/>
      <c r="E10" s="15"/>
      <c r="F10" s="15"/>
      <c r="G10" s="15"/>
      <c r="H10" s="15"/>
      <c r="I10" s="15" t="s">
        <v>15</v>
      </c>
      <c r="J10" s="15"/>
      <c r="K10" s="15"/>
      <c r="L10" s="15"/>
      <c r="M10" s="15"/>
      <c r="N10" s="15"/>
      <c r="O10" s="15"/>
      <c r="P10" s="15"/>
      <c r="Q10" s="15"/>
      <c r="R10" s="15"/>
      <c r="S10" s="15"/>
      <c r="T10" s="15"/>
      <c r="U10" s="15" t="s">
        <v>9</v>
      </c>
      <c r="V10" s="15" t="s">
        <v>9</v>
      </c>
      <c r="W10" s="15" t="s">
        <v>9</v>
      </c>
      <c r="X10" s="15"/>
      <c r="Y10" s="15"/>
      <c r="Z10" s="15"/>
      <c r="AA10" s="15"/>
      <c r="AB10" s="15"/>
      <c r="AC10" s="15"/>
      <c r="AD10" s="15"/>
      <c r="AE10" s="15"/>
      <c r="AF10" s="15"/>
      <c r="AG10" s="15"/>
      <c r="AH10" s="18">
        <f>COUNTA(January!$C10:$AG10)</f>
        <v>4</v>
      </c>
    </row>
    <row r="11" spans="1:34" ht="30" customHeight="1" x14ac:dyDescent="0.2">
      <c r="B11" s="17" t="s">
        <v>8</v>
      </c>
      <c r="C11" s="15"/>
      <c r="D11" s="15"/>
      <c r="E11" s="15"/>
      <c r="F11" s="15" t="s">
        <v>17</v>
      </c>
      <c r="G11" s="15" t="s">
        <v>9</v>
      </c>
      <c r="H11" s="15" t="s">
        <v>9</v>
      </c>
      <c r="I11" s="15"/>
      <c r="J11" s="15"/>
      <c r="K11" s="15"/>
      <c r="L11" s="15"/>
      <c r="M11" s="15"/>
      <c r="N11" s="15"/>
      <c r="O11" s="15"/>
      <c r="P11" s="15"/>
      <c r="Q11" s="15"/>
      <c r="R11" s="15"/>
      <c r="S11" s="15" t="s">
        <v>17</v>
      </c>
      <c r="T11" s="15"/>
      <c r="U11" s="15"/>
      <c r="V11" s="15"/>
      <c r="W11" s="15"/>
      <c r="X11" s="15"/>
      <c r="Y11" s="15"/>
      <c r="Z11" s="15" t="s">
        <v>17</v>
      </c>
      <c r="AA11" s="15"/>
      <c r="AB11" s="15"/>
      <c r="AC11" s="15"/>
      <c r="AD11" s="15"/>
      <c r="AE11" s="15"/>
      <c r="AF11" s="15"/>
      <c r="AG11" s="15" t="s">
        <v>9</v>
      </c>
      <c r="AH11" s="18">
        <f>COUNTA(January!$C11:$AG11)</f>
        <v>6</v>
      </c>
    </row>
    <row r="12" spans="1:34" ht="30" customHeight="1" x14ac:dyDescent="0.2">
      <c r="B12" s="19" t="str">
        <f>MonthName&amp;" Total"</f>
        <v>January Total</v>
      </c>
      <c r="C12" s="20">
        <f>SUBTOTAL(103,January!$C$7:$C$11)</f>
        <v>0</v>
      </c>
      <c r="D12" s="20">
        <f>SUBTOTAL(103,January!$D$7:$D$11)</f>
        <v>0</v>
      </c>
      <c r="E12" s="20">
        <f>SUBTOTAL(103,January!$E$7:$E$11)</f>
        <v>2</v>
      </c>
      <c r="F12" s="20">
        <f>SUBTOTAL(103,January!$F$7:$F$11)</f>
        <v>2</v>
      </c>
      <c r="G12" s="20">
        <f>SUBTOTAL(103,January!$G$7:$G$11)</f>
        <v>3</v>
      </c>
      <c r="H12" s="20">
        <f>SUBTOTAL(103,January!$H$7:$H$11)</f>
        <v>3</v>
      </c>
      <c r="I12" s="20">
        <f>SUBTOTAL(103,January!$I$7:$I$11)</f>
        <v>1</v>
      </c>
      <c r="J12" s="20">
        <f>SUBTOTAL(103,January!$J$7:$J$11)</f>
        <v>0</v>
      </c>
      <c r="K12" s="20">
        <f>SUBTOTAL(103,January!$K$7:$K$11)</f>
        <v>0</v>
      </c>
      <c r="L12" s="20">
        <f>SUBTOTAL(103,January!$L$7:$L$11)</f>
        <v>0</v>
      </c>
      <c r="M12" s="20">
        <f>SUBTOTAL(103,January!$M$7:$M$11)</f>
        <v>1</v>
      </c>
      <c r="N12" s="20">
        <f>SUBTOTAL(103,January!$N$7:$N$11)</f>
        <v>0</v>
      </c>
      <c r="O12" s="20">
        <f>SUBTOTAL(103,January!$O$7:$O$11)</f>
        <v>1</v>
      </c>
      <c r="P12" s="20">
        <f>SUBTOTAL(103,January!$P$7:$P$11)</f>
        <v>1</v>
      </c>
      <c r="Q12" s="20">
        <f>SUBTOTAL(103,January!$Q$7:$Q$11)</f>
        <v>0</v>
      </c>
      <c r="R12" s="20">
        <f>SUBTOTAL(103,January!$R$7:$R$11)</f>
        <v>0</v>
      </c>
      <c r="S12" s="20">
        <f>SUBTOTAL(103,January!$S$7:$S$11)</f>
        <v>1</v>
      </c>
      <c r="T12" s="20">
        <f>SUBTOTAL(103,January!$T$7:$T$11)</f>
        <v>0</v>
      </c>
      <c r="U12" s="20">
        <f>SUBTOTAL(103,January!$U$7:$U$11)</f>
        <v>1</v>
      </c>
      <c r="V12" s="20">
        <f>SUBTOTAL(103,January!$V$7:$V$11)</f>
        <v>2</v>
      </c>
      <c r="W12" s="20">
        <f>SUBTOTAL(103,January!$W$7:$W$11)</f>
        <v>1</v>
      </c>
      <c r="X12" s="20">
        <f>SUBTOTAL(103,January!$X$7:$X$11)</f>
        <v>0</v>
      </c>
      <c r="Y12" s="20">
        <f>SUBTOTAL(103,January!$Y$7:$Y$11)</f>
        <v>0</v>
      </c>
      <c r="Z12" s="20">
        <f>SUBTOTAL(103,January!$Z$7:$Z$11)</f>
        <v>1</v>
      </c>
      <c r="AA12" s="20">
        <f>SUBTOTAL(103,January!$AA$7:$AA$11)</f>
        <v>1</v>
      </c>
      <c r="AB12" s="20">
        <f>SUBTOTAL(103,January!$AB$7:$AB$11)</f>
        <v>1</v>
      </c>
      <c r="AC12" s="20">
        <f>SUBTOTAL(103,January!$AC$7:$AC$11)</f>
        <v>1</v>
      </c>
      <c r="AD12" s="20">
        <f>SUBTOTAL(103,January!$AD$7:$AD$11)</f>
        <v>0</v>
      </c>
      <c r="AE12" s="20">
        <f>SUBTOTAL(103,January!$AE$7:$AE$11)</f>
        <v>1</v>
      </c>
      <c r="AF12" s="20">
        <f>SUBTOTAL(103,January!$AF$7:$AF$11)</f>
        <v>0</v>
      </c>
      <c r="AG12" s="20">
        <f>SUBTOTAL(103,January!$AG$7:$AG$11)</f>
        <v>1</v>
      </c>
      <c r="AH12" s="20">
        <f>SUBTOTAL(109,January[Total Days])</f>
        <v>25</v>
      </c>
    </row>
  </sheetData>
  <mergeCells count="6">
    <mergeCell ref="C4:AG4"/>
    <mergeCell ref="D2:F2"/>
    <mergeCell ref="H2:J2"/>
    <mergeCell ref="L2:M2"/>
    <mergeCell ref="O2:Q2"/>
    <mergeCell ref="S2:U2"/>
  </mergeCells>
  <conditionalFormatting sqref="C7:AG11">
    <cfRule type="expression" priority="1" stopIfTrue="1">
      <formula>C7=""</formula>
    </cfRule>
    <cfRule type="expression" dxfId="892" priority="6" stopIfTrue="1">
      <formula>C7=KeyCustom2</formula>
    </cfRule>
    <cfRule type="expression" dxfId="891" priority="7" stopIfTrue="1">
      <formula>C7=KeyCustom1</formula>
    </cfRule>
    <cfRule type="expression" dxfId="890" priority="8" stopIfTrue="1">
      <formula>C7=KeySick</formula>
    </cfRule>
    <cfRule type="expression" dxfId="889" priority="9" stopIfTrue="1">
      <formula>C7=KeyPersonal</formula>
    </cfRule>
    <cfRule type="expression" dxfId="888" priority="10" stopIfTrue="1">
      <formula>C7=KeyHoliday</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Enter year in this cell" sqref="AH4" xr:uid="{00000000-0002-0000-0000-000000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000-000001000000}"/>
    <dataValidation allowBlank="1" showInputMessage="1" showErrorMessage="1" prompt="Days of the month in this row are automatically generated. Enter an employee's absence and absence type in each column for each day of the month. Blank means no absence" sqref="C6" xr:uid="{00000000-0002-0000-0000-000002000000}"/>
    <dataValidation allowBlank="1" showInputMessage="1" showErrorMessage="1" prompt="Weekdays in this row are automatically updated for the month according to the year entered in AH4. Each day of the month is a column to note an employee's absence and absence type" sqref="C5" xr:uid="{00000000-0002-0000-0000-000003000000}"/>
    <dataValidation allowBlank="1" showInputMessage="1" showErrorMessage="1" prompt="Automatically calculates total number of days an employee was absent this month" sqref="AH6" xr:uid="{00000000-0002-0000-0000-000004000000}"/>
    <dataValidation allowBlank="1" showInputMessage="1" showErrorMessage="1" prompt="Title of the worksheet is in this cell. Update the title and each worksheet will automatically inherit the change" sqref="B1" xr:uid="{00000000-0002-0000-0000-000005000000}"/>
    <dataValidation allowBlank="1" showInputMessage="1" showErrorMessage="1" prompt="Month of this absence schedule. Update the year in cell AH4. Track totals by month in the last cell of the table. Enter employee names in table column B" sqref="B4" xr:uid="{00000000-0002-0000-0000-000006000000}"/>
    <dataValidation allowBlank="1" showInputMessage="1" showErrorMessage="1" prompt="This row defines the keys used in the table: cell C2 is Holiday, G2 is Personal &amp; K2 is Sick leave. Cells N2 &amp; R2 are customisable " sqref="B2" xr:uid="{00000000-0002-0000-0000-000007000000}"/>
    <dataValidation allowBlank="1" showInputMessage="1" showErrorMessage="1" prompt="The letter &quot;H&quot; indicates absence due to holiday" sqref="C2" xr:uid="{00000000-0002-0000-0000-000008000000}"/>
    <dataValidation allowBlank="1" showInputMessage="1" showErrorMessage="1" prompt="The letter &quot;P&quot; indicates absence due to personal reasons" sqref="G2" xr:uid="{00000000-0002-0000-0000-000009000000}"/>
    <dataValidation allowBlank="1" showInputMessage="1" showErrorMessage="1" prompt="The letter &quot;S&quot; indicates absence due to illness" sqref="K2" xr:uid="{00000000-0002-0000-0000-00000A000000}"/>
    <dataValidation allowBlank="1" showInputMessage="1" showErrorMessage="1" prompt="Enter a letter and customise the label to the right to add another key item" sqref="N2 R2" xr:uid="{00000000-0002-0000-0000-00000B000000}"/>
    <dataValidation allowBlank="1" showInputMessage="1" showErrorMessage="1" prompt="Enter a label to describe the custom key to the left" sqref="O2:Q2 S2:U2" xr:uid="{00000000-0002-0000-0000-00000C000000}"/>
    <dataValidation allowBlank="1" showInputMessage="1" showErrorMessage="1" prompt="Employee Absence Schedule tracks employee absence by days for each month. There are 13 worksheets: 12 monthly &amp; last one for employee names. Track January absence in this worksheet" sqref="A1" xr:uid="{00000000-0002-0000-0000-00000D000000}"/>
    <dataValidation allowBlank="1" showInputMessage="1" showErrorMessage="1" prompt="Enter year in the cell below" sqref="AH3" xr:uid="{00000000-0002-0000-0000-00000E000000}"/>
  </dataValidations>
  <printOptions horizontalCentered="1"/>
  <pageMargins left="0.25" right="0.25" top="0.75" bottom="0.75" header="0.3" footer="0.3"/>
  <pageSetup paperSize="9" scale="75"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'Employee Names'!$B$4:$B$8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61</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TEXT(WEEKDAY(DATE(CalendarYear,10,1),1),"aaa")</f>
        <v>Sat</v>
      </c>
      <c r="D5" s="13" t="str">
        <f>TEXT(WEEKDAY(DATE(CalendarYear,10,2),1),"aaa")</f>
        <v>Sun</v>
      </c>
      <c r="E5" s="13" t="str">
        <f>TEXT(WEEKDAY(DATE(CalendarYear,10,3),1),"aaa")</f>
        <v>Mon</v>
      </c>
      <c r="F5" s="13" t="str">
        <f>TEXT(WEEKDAY(DATE(CalendarYear,10,4),1),"aaa")</f>
        <v>Tue</v>
      </c>
      <c r="G5" s="13" t="str">
        <f>TEXT(WEEKDAY(DATE(CalendarYear,10,5),1),"aaa")</f>
        <v>Wed</v>
      </c>
      <c r="H5" s="13" t="str">
        <f>TEXT(WEEKDAY(DATE(CalendarYear,10,6),1),"aaa")</f>
        <v>Thu</v>
      </c>
      <c r="I5" s="13" t="str">
        <f>TEXT(WEEKDAY(DATE(CalendarYear,10,7),1),"aaa")</f>
        <v>Fri</v>
      </c>
      <c r="J5" s="13" t="str">
        <f>TEXT(WEEKDAY(DATE(CalendarYear,10,8),1),"aaa")</f>
        <v>Sat</v>
      </c>
      <c r="K5" s="13" t="str">
        <f>TEXT(WEEKDAY(DATE(CalendarYear,10,9),1),"aaa")</f>
        <v>Sun</v>
      </c>
      <c r="L5" s="13" t="str">
        <f>TEXT(WEEKDAY(DATE(CalendarYear,10,10),1),"aaa")</f>
        <v>Mon</v>
      </c>
      <c r="M5" s="13" t="str">
        <f>TEXT(WEEKDAY(DATE(CalendarYear,10,11),1),"aaa")</f>
        <v>Tue</v>
      </c>
      <c r="N5" s="13" t="str">
        <f>TEXT(WEEKDAY(DATE(CalendarYear,10,12),1),"aaa")</f>
        <v>Wed</v>
      </c>
      <c r="O5" s="13" t="str">
        <f>TEXT(WEEKDAY(DATE(CalendarYear,10,13),1),"aaa")</f>
        <v>Thu</v>
      </c>
      <c r="P5" s="13" t="str">
        <f>TEXT(WEEKDAY(DATE(CalendarYear,10,14),1),"aaa")</f>
        <v>Fri</v>
      </c>
      <c r="Q5" s="13" t="str">
        <f>TEXT(WEEKDAY(DATE(CalendarYear,10,15),1),"aaa")</f>
        <v>Sat</v>
      </c>
      <c r="R5" s="13" t="str">
        <f>TEXT(WEEKDAY(DATE(CalendarYear,10,16),1),"aaa")</f>
        <v>Sun</v>
      </c>
      <c r="S5" s="13" t="str">
        <f>TEXT(WEEKDAY(DATE(CalendarYear,10,17),1),"aaa")</f>
        <v>Mon</v>
      </c>
      <c r="T5" s="13" t="str">
        <f>TEXT(WEEKDAY(DATE(CalendarYear,10,18),1),"aaa")</f>
        <v>Tue</v>
      </c>
      <c r="U5" s="13" t="str">
        <f>TEXT(WEEKDAY(DATE(CalendarYear,10,19),1),"aaa")</f>
        <v>Wed</v>
      </c>
      <c r="V5" s="13" t="str">
        <f>TEXT(WEEKDAY(DATE(CalendarYear,10,20),1),"aaa")</f>
        <v>Thu</v>
      </c>
      <c r="W5" s="13" t="str">
        <f>TEXT(WEEKDAY(DATE(CalendarYear,10,21),1),"aaa")</f>
        <v>Fri</v>
      </c>
      <c r="X5" s="13" t="str">
        <f>TEXT(WEEKDAY(DATE(CalendarYear,10,22),1),"aaa")</f>
        <v>Sat</v>
      </c>
      <c r="Y5" s="13" t="str">
        <f>TEXT(WEEKDAY(DATE(CalendarYear,10,23),1),"aaa")</f>
        <v>Sun</v>
      </c>
      <c r="Z5" s="13" t="str">
        <f>TEXT(WEEKDAY(DATE(CalendarYear,10,24),1),"aaa")</f>
        <v>Mon</v>
      </c>
      <c r="AA5" s="13" t="str">
        <f>TEXT(WEEKDAY(DATE(CalendarYear,10,25),1),"aaa")</f>
        <v>Tue</v>
      </c>
      <c r="AB5" s="13" t="str">
        <f>TEXT(WEEKDAY(DATE(CalendarYear,10,26),1),"aaa")</f>
        <v>Wed</v>
      </c>
      <c r="AC5" s="13" t="str">
        <f>TEXT(WEEKDAY(DATE(CalendarYear,10,27),1),"aaa")</f>
        <v>Thu</v>
      </c>
      <c r="AD5" s="13" t="str">
        <f>TEXT(WEEKDAY(DATE(CalendarYear,10,28),1),"aaa")</f>
        <v>Fri</v>
      </c>
      <c r="AE5" s="13" t="str">
        <f>TEXT(WEEKDAY(DATE(CalendarYear,10,29),1),"aaa")</f>
        <v>Sat</v>
      </c>
      <c r="AF5" s="13" t="str">
        <f>TEXT(WEEKDAY(DATE(CalendarYear,10,30),1),"aaa")</f>
        <v>Sun</v>
      </c>
      <c r="AG5" s="13" t="str">
        <f>TEXT(WEEKDAY(DATE(CalendarYear,10,31),1),"aaa")</f>
        <v>Mon</v>
      </c>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COUNTA(October[[#This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COUNTA(October[[#This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COUNTA(October[[#This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COUNTA(October[[#This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COUNTA(October[[#This Row],[1]:[31]])</f>
        <v>0</v>
      </c>
    </row>
    <row r="12" spans="2:34" ht="30" customHeight="1" x14ac:dyDescent="0.2">
      <c r="B12" s="19" t="str">
        <f>MonthName&amp;" Total"</f>
        <v>October Total</v>
      </c>
      <c r="C12" s="20">
        <f>SUBTOTAL(103,October[1])</f>
        <v>0</v>
      </c>
      <c r="D12" s="20">
        <f>SUBTOTAL(103,October[2])</f>
        <v>0</v>
      </c>
      <c r="E12" s="20">
        <f>SUBTOTAL(103,October[3])</f>
        <v>0</v>
      </c>
      <c r="F12" s="20">
        <f>SUBTOTAL(103,October[4])</f>
        <v>0</v>
      </c>
      <c r="G12" s="20">
        <f>SUBTOTAL(103,October[5])</f>
        <v>0</v>
      </c>
      <c r="H12" s="20">
        <f>SUBTOTAL(103,October[6])</f>
        <v>0</v>
      </c>
      <c r="I12" s="20">
        <f>SUBTOTAL(103,October[7])</f>
        <v>0</v>
      </c>
      <c r="J12" s="20">
        <f>SUBTOTAL(103,October[8])</f>
        <v>0</v>
      </c>
      <c r="K12" s="20">
        <f>SUBTOTAL(103,October[9])</f>
        <v>0</v>
      </c>
      <c r="L12" s="20">
        <f>SUBTOTAL(103,October[10])</f>
        <v>0</v>
      </c>
      <c r="M12" s="20">
        <f>SUBTOTAL(103,October[11])</f>
        <v>0</v>
      </c>
      <c r="N12" s="20">
        <f>SUBTOTAL(103,October[12])</f>
        <v>0</v>
      </c>
      <c r="O12" s="20">
        <f>SUBTOTAL(103,October[13])</f>
        <v>0</v>
      </c>
      <c r="P12" s="20">
        <f>SUBTOTAL(103,October[14])</f>
        <v>0</v>
      </c>
      <c r="Q12" s="20">
        <f>SUBTOTAL(103,October[15])</f>
        <v>0</v>
      </c>
      <c r="R12" s="20">
        <f>SUBTOTAL(103,October[16])</f>
        <v>0</v>
      </c>
      <c r="S12" s="20">
        <f>SUBTOTAL(103,October[17])</f>
        <v>0</v>
      </c>
      <c r="T12" s="20">
        <f>SUBTOTAL(103,October[18])</f>
        <v>0</v>
      </c>
      <c r="U12" s="20">
        <f>SUBTOTAL(103,October[19])</f>
        <v>0</v>
      </c>
      <c r="V12" s="20">
        <f>SUBTOTAL(103,October[20])</f>
        <v>0</v>
      </c>
      <c r="W12" s="20">
        <f>SUBTOTAL(103,October[21])</f>
        <v>0</v>
      </c>
      <c r="X12" s="20">
        <f>SUBTOTAL(103,October[22])</f>
        <v>0</v>
      </c>
      <c r="Y12" s="20">
        <f>SUBTOTAL(103,October[23])</f>
        <v>0</v>
      </c>
      <c r="Z12" s="20">
        <f>SUBTOTAL(103,October[24])</f>
        <v>0</v>
      </c>
      <c r="AA12" s="20">
        <f>SUBTOTAL(103,October[25])</f>
        <v>0</v>
      </c>
      <c r="AB12" s="20">
        <f>SUBTOTAL(103,October[26])</f>
        <v>0</v>
      </c>
      <c r="AC12" s="20">
        <f>SUBTOTAL(103,October[27])</f>
        <v>0</v>
      </c>
      <c r="AD12" s="20">
        <f>SUBTOTAL(103,October[28])</f>
        <v>0</v>
      </c>
      <c r="AE12" s="20">
        <f>SUBTOTAL(103,October[29])</f>
        <v>0</v>
      </c>
      <c r="AF12" s="20">
        <f>SUBTOTAL(109,October[30])</f>
        <v>0</v>
      </c>
      <c r="AG12" s="20">
        <f>SUBTOTAL(109,October[31])</f>
        <v>0</v>
      </c>
      <c r="AH12" s="20">
        <f>SUBTOTAL(109,October[Total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24" priority="2" stopIfTrue="1">
      <formula>C7=KeyCustom2</formula>
    </cfRule>
    <cfRule type="expression" dxfId="223" priority="3" stopIfTrue="1">
      <formula>C7=KeyCustom1</formula>
    </cfRule>
    <cfRule type="expression" dxfId="222" priority="4" stopIfTrue="1">
      <formula>C7=KeySick</formula>
    </cfRule>
    <cfRule type="expression" dxfId="221" priority="5" stopIfTrue="1">
      <formula>C7=KeyPersonal</formula>
    </cfRule>
    <cfRule type="expression" dxfId="220"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900-000000000000}"/>
    <dataValidation allowBlank="1" showInputMessage="1" showErrorMessage="1" prompt="Automatically updated year based on year entered in January worksheet" sqref="AH4" xr:uid="{00000000-0002-0000-0900-000001000000}"/>
    <dataValidation allowBlank="1" showInputMessage="1" showErrorMessage="1" prompt="Automatically calculates total number of days an employee was absent this month in this column" sqref="AH6" xr:uid="{00000000-0002-0000-0900-000002000000}"/>
    <dataValidation allowBlank="1" showInputMessage="1" showErrorMessage="1" prompt="Track October absence in this worksheet" sqref="A1" xr:uid="{00000000-0002-0000-09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900-000004000000}"/>
    <dataValidation allowBlank="1" showInputMessage="1" showErrorMessage="1" prompt="Automatically updated title is in this cell. To modify the title, update B1 on January worksheet" sqref="B1" xr:uid="{00000000-0002-0000-0900-000005000000}"/>
    <dataValidation allowBlank="1" showInputMessage="1" showErrorMessage="1" prompt="The letter &quot;H&quot; indicates absence due to holiday" sqref="C2" xr:uid="{00000000-0002-0000-0900-000006000000}"/>
    <dataValidation allowBlank="1" showInputMessage="1" showErrorMessage="1" prompt="The letter &quot;P&quot; indicates absence due to personal reasons" sqref="G2" xr:uid="{00000000-0002-0000-0900-000007000000}"/>
    <dataValidation allowBlank="1" showInputMessage="1" showErrorMessage="1" prompt="The letter &quot;S&quot; indicates absence due to illness" sqref="K2" xr:uid="{00000000-0002-0000-0900-000008000000}"/>
    <dataValidation allowBlank="1" showInputMessage="1" showErrorMessage="1" prompt="Enter a letter and customise the label to the right to add another key item" sqref="N2 R2" xr:uid="{00000000-0002-0000-0900-000009000000}"/>
    <dataValidation allowBlank="1" showInputMessage="1" showErrorMessage="1" prompt="Enter a label to describe the custom key to the left" sqref="O2:Q2 S2:U2" xr:uid="{00000000-0002-0000-0900-00000A000000}"/>
    <dataValidation allowBlank="1" showInputMessage="1" showErrorMessage="1" prompt="This row defines the keys used in the table: cell C2 is Holiday, G2 is Personal &amp; K2 is Sick leave. Cells N2 &amp; R2 are customisable " sqref="B2" xr:uid="{00000000-0002-0000-0900-00000B000000}"/>
    <dataValidation allowBlank="1" showInputMessage="1" showErrorMessage="1" prompt="Month name for this absence schedule is in this cell. Absence totals for this month are in last cell of the table. Select employee names in table column B" sqref="B4" xr:uid="{00000000-0002-0000-09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9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'Employee Names'!$B$4:$B$8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62</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TEXT(WEEKDAY(DATE(CalendarYear,11,1),1),"aaa")</f>
        <v>Tue</v>
      </c>
      <c r="D5" s="13" t="str">
        <f>TEXT(WEEKDAY(DATE(CalendarYear,11,2),1),"aaa")</f>
        <v>Wed</v>
      </c>
      <c r="E5" s="13" t="str">
        <f>TEXT(WEEKDAY(DATE(CalendarYear,11,3),1),"aaa")</f>
        <v>Thu</v>
      </c>
      <c r="F5" s="13" t="str">
        <f>TEXT(WEEKDAY(DATE(CalendarYear,11,4),1),"aaa")</f>
        <v>Fri</v>
      </c>
      <c r="G5" s="13" t="str">
        <f>TEXT(WEEKDAY(DATE(CalendarYear,11,5),1),"aaa")</f>
        <v>Sat</v>
      </c>
      <c r="H5" s="13" t="str">
        <f>TEXT(WEEKDAY(DATE(CalendarYear,11,6),1),"aaa")</f>
        <v>Sun</v>
      </c>
      <c r="I5" s="13" t="str">
        <f>TEXT(WEEKDAY(DATE(CalendarYear,11,7),1),"aaa")</f>
        <v>Mon</v>
      </c>
      <c r="J5" s="13" t="str">
        <f>TEXT(WEEKDAY(DATE(CalendarYear,11,8),1),"aaa")</f>
        <v>Tue</v>
      </c>
      <c r="K5" s="13" t="str">
        <f>TEXT(WEEKDAY(DATE(CalendarYear,11,9),1),"aaa")</f>
        <v>Wed</v>
      </c>
      <c r="L5" s="13" t="str">
        <f>TEXT(WEEKDAY(DATE(CalendarYear,11,10),1),"aaa")</f>
        <v>Thu</v>
      </c>
      <c r="M5" s="13" t="str">
        <f>TEXT(WEEKDAY(DATE(CalendarYear,11,11),1),"aaa")</f>
        <v>Fri</v>
      </c>
      <c r="N5" s="13" t="str">
        <f>TEXT(WEEKDAY(DATE(CalendarYear,11,12),1),"aaa")</f>
        <v>Sat</v>
      </c>
      <c r="O5" s="13" t="str">
        <f>TEXT(WEEKDAY(DATE(CalendarYear,11,13),1),"aaa")</f>
        <v>Sun</v>
      </c>
      <c r="P5" s="13" t="str">
        <f>TEXT(WEEKDAY(DATE(CalendarYear,11,14),1),"aaa")</f>
        <v>Mon</v>
      </c>
      <c r="Q5" s="13" t="str">
        <f>TEXT(WEEKDAY(DATE(CalendarYear,11,15),1),"aaa")</f>
        <v>Tue</v>
      </c>
      <c r="R5" s="13" t="str">
        <f>TEXT(WEEKDAY(DATE(CalendarYear,11,16),1),"aaa")</f>
        <v>Wed</v>
      </c>
      <c r="S5" s="13" t="str">
        <f>TEXT(WEEKDAY(DATE(CalendarYear,11,17),1),"aaa")</f>
        <v>Thu</v>
      </c>
      <c r="T5" s="13" t="str">
        <f>TEXT(WEEKDAY(DATE(CalendarYear,11,18),1),"aaa")</f>
        <v>Fri</v>
      </c>
      <c r="U5" s="13" t="str">
        <f>TEXT(WEEKDAY(DATE(CalendarYear,11,19),1),"aaa")</f>
        <v>Sat</v>
      </c>
      <c r="V5" s="13" t="str">
        <f>TEXT(WEEKDAY(DATE(CalendarYear,11,20),1),"aaa")</f>
        <v>Sun</v>
      </c>
      <c r="W5" s="13" t="str">
        <f>TEXT(WEEKDAY(DATE(CalendarYear,11,21),1),"aaa")</f>
        <v>Mon</v>
      </c>
      <c r="X5" s="13" t="str">
        <f>TEXT(WEEKDAY(DATE(CalendarYear,11,22),1),"aaa")</f>
        <v>Tue</v>
      </c>
      <c r="Y5" s="13" t="str">
        <f>TEXT(WEEKDAY(DATE(CalendarYear,11,23),1),"aaa")</f>
        <v>Wed</v>
      </c>
      <c r="Z5" s="13" t="str">
        <f>TEXT(WEEKDAY(DATE(CalendarYear,11,24),1),"aaa")</f>
        <v>Thu</v>
      </c>
      <c r="AA5" s="13" t="str">
        <f>TEXT(WEEKDAY(DATE(CalendarYear,11,25),1),"aaa")</f>
        <v>Fri</v>
      </c>
      <c r="AB5" s="13" t="str">
        <f>TEXT(WEEKDAY(DATE(CalendarYear,11,26),1),"aaa")</f>
        <v>Sat</v>
      </c>
      <c r="AC5" s="13" t="str">
        <f>TEXT(WEEKDAY(DATE(CalendarYear,11,27),1),"aaa")</f>
        <v>Sun</v>
      </c>
      <c r="AD5" s="13" t="str">
        <f>TEXT(WEEKDAY(DATE(CalendarYear,11,28),1),"aaa")</f>
        <v>Mon</v>
      </c>
      <c r="AE5" s="13" t="str">
        <f>TEXT(WEEKDAY(DATE(CalendarYear,11,29),1),"aaa")</f>
        <v>Tue</v>
      </c>
      <c r="AF5" s="13" t="str">
        <f>TEXT(WEEKDAY(DATE(CalendarYear,11,30),1),"aaa")</f>
        <v>Wed</v>
      </c>
      <c r="AG5" s="13"/>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COUNTA(November[[#This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COUNTA(November[[#This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COUNTA(November[[#This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COUNTA(November[[#This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COUNTA(November[[#This Row],[1]:[31]])</f>
        <v>0</v>
      </c>
    </row>
    <row r="12" spans="2:34" ht="30" customHeight="1" x14ac:dyDescent="0.2">
      <c r="B12" s="19" t="str">
        <f>MonthName&amp;" Total"</f>
        <v>November Total</v>
      </c>
      <c r="C12" s="20">
        <f>SUBTOTAL(103,November[1])</f>
        <v>0</v>
      </c>
      <c r="D12" s="20">
        <f>SUBTOTAL(103,November[2])</f>
        <v>0</v>
      </c>
      <c r="E12" s="20">
        <f>SUBTOTAL(103,November[3])</f>
        <v>0</v>
      </c>
      <c r="F12" s="20">
        <f>SUBTOTAL(103,November[4])</f>
        <v>0</v>
      </c>
      <c r="G12" s="20">
        <f>SUBTOTAL(103,November[5])</f>
        <v>0</v>
      </c>
      <c r="H12" s="20">
        <f>SUBTOTAL(103,November[6])</f>
        <v>0</v>
      </c>
      <c r="I12" s="20">
        <f>SUBTOTAL(103,November[7])</f>
        <v>0</v>
      </c>
      <c r="J12" s="20">
        <f>SUBTOTAL(103,November[8])</f>
        <v>0</v>
      </c>
      <c r="K12" s="20">
        <f>SUBTOTAL(103,November[9])</f>
        <v>0</v>
      </c>
      <c r="L12" s="20">
        <f>SUBTOTAL(103,November[10])</f>
        <v>0</v>
      </c>
      <c r="M12" s="20">
        <f>SUBTOTAL(103,November[11])</f>
        <v>0</v>
      </c>
      <c r="N12" s="20">
        <f>SUBTOTAL(103,November[12])</f>
        <v>0</v>
      </c>
      <c r="O12" s="20">
        <f>SUBTOTAL(103,November[13])</f>
        <v>0</v>
      </c>
      <c r="P12" s="20">
        <f>SUBTOTAL(103,November[14])</f>
        <v>0</v>
      </c>
      <c r="Q12" s="20">
        <f>SUBTOTAL(103,November[15])</f>
        <v>0</v>
      </c>
      <c r="R12" s="20">
        <f>SUBTOTAL(103,November[16])</f>
        <v>0</v>
      </c>
      <c r="S12" s="20">
        <f>SUBTOTAL(103,November[17])</f>
        <v>0</v>
      </c>
      <c r="T12" s="20">
        <f>SUBTOTAL(103,November[18])</f>
        <v>0</v>
      </c>
      <c r="U12" s="20">
        <f>SUBTOTAL(103,November[19])</f>
        <v>0</v>
      </c>
      <c r="V12" s="20">
        <f>SUBTOTAL(103,November[20])</f>
        <v>0</v>
      </c>
      <c r="W12" s="20">
        <f>SUBTOTAL(103,November[21])</f>
        <v>0</v>
      </c>
      <c r="X12" s="20">
        <f>SUBTOTAL(103,November[22])</f>
        <v>0</v>
      </c>
      <c r="Y12" s="20">
        <f>SUBTOTAL(103,November[23])</f>
        <v>0</v>
      </c>
      <c r="Z12" s="20">
        <f>SUBTOTAL(103,November[24])</f>
        <v>0</v>
      </c>
      <c r="AA12" s="20">
        <f>SUBTOTAL(103,November[25])</f>
        <v>0</v>
      </c>
      <c r="AB12" s="20">
        <f>SUBTOTAL(103,November[26])</f>
        <v>0</v>
      </c>
      <c r="AC12" s="20">
        <f>SUBTOTAL(103,November[27])</f>
        <v>0</v>
      </c>
      <c r="AD12" s="20">
        <f>SUBTOTAL(103,November[28])</f>
        <v>0</v>
      </c>
      <c r="AE12" s="20">
        <f>SUBTOTAL(103,November[29])</f>
        <v>0</v>
      </c>
      <c r="AF12" s="20">
        <f>SUBTOTAL(109,November[30])</f>
        <v>0</v>
      </c>
      <c r="AG12" s="20">
        <f>SUBTOTAL(109,November[31])</f>
        <v>0</v>
      </c>
      <c r="AH12" s="20">
        <f>SUBTOTAL(109,November[Total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50" priority="2" stopIfTrue="1">
      <formula>C7=KeyCustom2</formula>
    </cfRule>
    <cfRule type="expression" dxfId="149" priority="3" stopIfTrue="1">
      <formula>C7=KeyCustom1</formula>
    </cfRule>
    <cfRule type="expression" dxfId="148" priority="4" stopIfTrue="1">
      <formula>C7=KeySick</formula>
    </cfRule>
    <cfRule type="expression" dxfId="147" priority="5" stopIfTrue="1">
      <formula>C7=KeyPersonal</formula>
    </cfRule>
    <cfRule type="expression" dxfId="146"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A00-000000000000}"/>
    <dataValidation allowBlank="1" showInputMessage="1" showErrorMessage="1" prompt="Month name for this absence schedule is in this cell. Absence totals for this month are in last cell of the table. Select employee names in table column B" sqref="B4" xr:uid="{00000000-0002-0000-0A00-000001000000}"/>
    <dataValidation allowBlank="1" showInputMessage="1" showErrorMessage="1" prompt="This row defines the keys used in the table: cell C2 is Holiday, G2 is Personal &amp; K2 is Sick leave. Cells N2 &amp; R2 are customisable " sqref="B2" xr:uid="{00000000-0002-0000-0A00-000002000000}"/>
    <dataValidation allowBlank="1" showInputMessage="1" showErrorMessage="1" prompt="Enter a label to describe the custom key to the left" sqref="O2:Q2 S2:U2" xr:uid="{00000000-0002-0000-0A00-000003000000}"/>
    <dataValidation allowBlank="1" showInputMessage="1" showErrorMessage="1" prompt="Enter a letter and customise the label to the right to add another key item" sqref="N2 R2" xr:uid="{00000000-0002-0000-0A00-000004000000}"/>
    <dataValidation allowBlank="1" showInputMessage="1" showErrorMessage="1" prompt="The letter &quot;S&quot; indicates absence due to illness" sqref="K2" xr:uid="{00000000-0002-0000-0A00-000005000000}"/>
    <dataValidation allowBlank="1" showInputMessage="1" showErrorMessage="1" prompt="The letter &quot;P&quot; indicates absence due to personal reasons" sqref="G2" xr:uid="{00000000-0002-0000-0A00-000006000000}"/>
    <dataValidation allowBlank="1" showInputMessage="1" showErrorMessage="1" prompt="The letter &quot;H&quot; indicates absence due to holiday" sqref="C2" xr:uid="{00000000-0002-0000-0A00-000007000000}"/>
    <dataValidation allowBlank="1" showInputMessage="1" showErrorMessage="1" prompt="Automatically updated title is in this cell. To modify the title, update B1 on January worksheet" sqref="B1" xr:uid="{00000000-0002-0000-0A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A00-000009000000}"/>
    <dataValidation allowBlank="1" showInputMessage="1" showErrorMessage="1" prompt="Track November absence in this worksheet" sqref="A1" xr:uid="{00000000-0002-0000-0A00-00000A000000}"/>
    <dataValidation allowBlank="1" showInputMessage="1" showErrorMessage="1" prompt="Automatically calculates total number of days an employee was absent this month in this column" sqref="AH6" xr:uid="{00000000-0002-0000-0A00-00000B000000}"/>
    <dataValidation allowBlank="1" showInputMessage="1" showErrorMessage="1" prompt="Automatically updated year based on year entered in January worksheet" sqref="AH4" xr:uid="{00000000-0002-0000-0A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A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E000000}">
          <x14:formula1>
            <xm:f>'Employee Names'!$B$4:$B$8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63</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TEXT(WEEKDAY(DATE(CalendarYear,12,1),1),"aaa")</f>
        <v>Thu</v>
      </c>
      <c r="D5" s="13" t="str">
        <f>TEXT(WEEKDAY(DATE(CalendarYear,12,2),1),"aaa")</f>
        <v>Fri</v>
      </c>
      <c r="E5" s="13" t="str">
        <f>TEXT(WEEKDAY(DATE(CalendarYear,12,3),1),"aaa")</f>
        <v>Sat</v>
      </c>
      <c r="F5" s="13" t="str">
        <f>TEXT(WEEKDAY(DATE(CalendarYear,12,4),1),"aaa")</f>
        <v>Sun</v>
      </c>
      <c r="G5" s="13" t="str">
        <f>TEXT(WEEKDAY(DATE(CalendarYear,12,5),1),"aaa")</f>
        <v>Mon</v>
      </c>
      <c r="H5" s="13" t="str">
        <f>TEXT(WEEKDAY(DATE(CalendarYear,12,6),1),"aaa")</f>
        <v>Tue</v>
      </c>
      <c r="I5" s="13" t="str">
        <f>TEXT(WEEKDAY(DATE(CalendarYear,12,7),1),"aaa")</f>
        <v>Wed</v>
      </c>
      <c r="J5" s="13" t="str">
        <f>TEXT(WEEKDAY(DATE(CalendarYear,12,8),1),"aaa")</f>
        <v>Thu</v>
      </c>
      <c r="K5" s="13" t="str">
        <f>TEXT(WEEKDAY(DATE(CalendarYear,12,9),1),"aaa")</f>
        <v>Fri</v>
      </c>
      <c r="L5" s="13" t="str">
        <f>TEXT(WEEKDAY(DATE(CalendarYear,12,10),1),"aaa")</f>
        <v>Sat</v>
      </c>
      <c r="M5" s="13" t="str">
        <f>TEXT(WEEKDAY(DATE(CalendarYear,12,11),1),"aaa")</f>
        <v>Sun</v>
      </c>
      <c r="N5" s="13" t="str">
        <f>TEXT(WEEKDAY(DATE(CalendarYear,12,12),1),"aaa")</f>
        <v>Mon</v>
      </c>
      <c r="O5" s="13" t="str">
        <f>TEXT(WEEKDAY(DATE(CalendarYear,12,13),1),"aaa")</f>
        <v>Tue</v>
      </c>
      <c r="P5" s="13" t="str">
        <f>TEXT(WEEKDAY(DATE(CalendarYear,12,14),1),"aaa")</f>
        <v>Wed</v>
      </c>
      <c r="Q5" s="13" t="str">
        <f>TEXT(WEEKDAY(DATE(CalendarYear,12,15),1),"aaa")</f>
        <v>Thu</v>
      </c>
      <c r="R5" s="13" t="str">
        <f>TEXT(WEEKDAY(DATE(CalendarYear,12,16),1),"aaa")</f>
        <v>Fri</v>
      </c>
      <c r="S5" s="13" t="str">
        <f>TEXT(WEEKDAY(DATE(CalendarYear,12,17),1),"aaa")</f>
        <v>Sat</v>
      </c>
      <c r="T5" s="13" t="str">
        <f>TEXT(WEEKDAY(DATE(CalendarYear,12,18),1),"aaa")</f>
        <v>Sun</v>
      </c>
      <c r="U5" s="13" t="str">
        <f>TEXT(WEEKDAY(DATE(CalendarYear,12,19),1),"aaa")</f>
        <v>Mon</v>
      </c>
      <c r="V5" s="13" t="str">
        <f>TEXT(WEEKDAY(DATE(CalendarYear,12,20),1),"aaa")</f>
        <v>Tue</v>
      </c>
      <c r="W5" s="13" t="str">
        <f>TEXT(WEEKDAY(DATE(CalendarYear,12,21),1),"aaa")</f>
        <v>Wed</v>
      </c>
      <c r="X5" s="13" t="str">
        <f>TEXT(WEEKDAY(DATE(CalendarYear,12,22),1),"aaa")</f>
        <v>Thu</v>
      </c>
      <c r="Y5" s="13" t="str">
        <f>TEXT(WEEKDAY(DATE(CalendarYear,12,23),1),"aaa")</f>
        <v>Fri</v>
      </c>
      <c r="Z5" s="13" t="str">
        <f>TEXT(WEEKDAY(DATE(CalendarYear,12,24),1),"aaa")</f>
        <v>Sat</v>
      </c>
      <c r="AA5" s="13" t="str">
        <f>TEXT(WEEKDAY(DATE(CalendarYear,12,25),1),"aaa")</f>
        <v>Sun</v>
      </c>
      <c r="AB5" s="13" t="str">
        <f>TEXT(WEEKDAY(DATE(CalendarYear,12,26),1),"aaa")</f>
        <v>Mon</v>
      </c>
      <c r="AC5" s="13" t="str">
        <f>TEXT(WEEKDAY(DATE(CalendarYear,12,27),1),"aaa")</f>
        <v>Tue</v>
      </c>
      <c r="AD5" s="13" t="str">
        <f>TEXT(WEEKDAY(DATE(CalendarYear,12,28),1),"aaa")</f>
        <v>Wed</v>
      </c>
      <c r="AE5" s="13" t="str">
        <f>TEXT(WEEKDAY(DATE(CalendarYear,12,29),1),"aaa")</f>
        <v>Thu</v>
      </c>
      <c r="AF5" s="13" t="str">
        <f>TEXT(WEEKDAY(DATE(CalendarYear,12,30),1),"aaa")</f>
        <v>Fri</v>
      </c>
      <c r="AG5" s="13" t="str">
        <f>TEXT(WEEKDAY(DATE(CalendarYear,12,31),1),"aaa")</f>
        <v>Sat</v>
      </c>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COUNTA(December[[#This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COUNTA(December[[#This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COUNTA(December[[#This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COUNTA(December[[#This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COUNTA(December[[#This Row],[1]:[31]])</f>
        <v>0</v>
      </c>
    </row>
    <row r="12" spans="2:34" ht="30" customHeight="1" x14ac:dyDescent="0.2">
      <c r="B12" s="19" t="str">
        <f>MonthName&amp;" Total"</f>
        <v>December Total</v>
      </c>
      <c r="C12" s="20">
        <f>SUBTOTAL(103,December[1])</f>
        <v>0</v>
      </c>
      <c r="D12" s="20">
        <f>SUBTOTAL(103,December[2])</f>
        <v>0</v>
      </c>
      <c r="E12" s="20">
        <f>SUBTOTAL(103,December[3])</f>
        <v>0</v>
      </c>
      <c r="F12" s="20">
        <f>SUBTOTAL(103,December[4])</f>
        <v>0</v>
      </c>
      <c r="G12" s="20">
        <f>SUBTOTAL(103,December[5])</f>
        <v>0</v>
      </c>
      <c r="H12" s="20">
        <f>SUBTOTAL(103,December[6])</f>
        <v>0</v>
      </c>
      <c r="I12" s="20">
        <f>SUBTOTAL(103,December[7])</f>
        <v>0</v>
      </c>
      <c r="J12" s="20">
        <f>SUBTOTAL(103,December[8])</f>
        <v>0</v>
      </c>
      <c r="K12" s="20">
        <f>SUBTOTAL(103,December[9])</f>
        <v>0</v>
      </c>
      <c r="L12" s="20">
        <f>SUBTOTAL(103,December[10])</f>
        <v>0</v>
      </c>
      <c r="M12" s="20">
        <f>SUBTOTAL(103,December[11])</f>
        <v>0</v>
      </c>
      <c r="N12" s="20">
        <f>SUBTOTAL(103,December[12])</f>
        <v>0</v>
      </c>
      <c r="O12" s="20">
        <f>SUBTOTAL(103,December[13])</f>
        <v>0</v>
      </c>
      <c r="P12" s="20">
        <f>SUBTOTAL(103,December[14])</f>
        <v>0</v>
      </c>
      <c r="Q12" s="20">
        <f>SUBTOTAL(103,December[15])</f>
        <v>0</v>
      </c>
      <c r="R12" s="20">
        <f>SUBTOTAL(103,December[16])</f>
        <v>0</v>
      </c>
      <c r="S12" s="20">
        <f>SUBTOTAL(103,December[17])</f>
        <v>0</v>
      </c>
      <c r="T12" s="20">
        <f>SUBTOTAL(103,December[18])</f>
        <v>0</v>
      </c>
      <c r="U12" s="20">
        <f>SUBTOTAL(103,December[19])</f>
        <v>0</v>
      </c>
      <c r="V12" s="20">
        <f>SUBTOTAL(103,December[20])</f>
        <v>0</v>
      </c>
      <c r="W12" s="20">
        <f>SUBTOTAL(103,December[21])</f>
        <v>0</v>
      </c>
      <c r="X12" s="20">
        <f>SUBTOTAL(103,December[22])</f>
        <v>0</v>
      </c>
      <c r="Y12" s="20">
        <f>SUBTOTAL(103,December[23])</f>
        <v>0</v>
      </c>
      <c r="Z12" s="20">
        <f>SUBTOTAL(103,December[24])</f>
        <v>0</v>
      </c>
      <c r="AA12" s="20">
        <f>SUBTOTAL(103,December[25])</f>
        <v>0</v>
      </c>
      <c r="AB12" s="20">
        <f>SUBTOTAL(103,December[26])</f>
        <v>0</v>
      </c>
      <c r="AC12" s="20">
        <f>SUBTOTAL(103,December[27])</f>
        <v>0</v>
      </c>
      <c r="AD12" s="20">
        <f>SUBTOTAL(103,December[28])</f>
        <v>0</v>
      </c>
      <c r="AE12" s="20">
        <f>SUBTOTAL(103,December[29])</f>
        <v>0</v>
      </c>
      <c r="AF12" s="20">
        <f>SUBTOTAL(109,December[30])</f>
        <v>0</v>
      </c>
      <c r="AG12" s="20">
        <f>SUBTOTAL(109,December[31])</f>
        <v>0</v>
      </c>
      <c r="AH12" s="20">
        <f>SUBTOTAL(109,December[Total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6" priority="2" stopIfTrue="1">
      <formula>C7=KeyCustom2</formula>
    </cfRule>
    <cfRule type="expression" dxfId="75" priority="3" stopIfTrue="1">
      <formula>C7=KeyCustom1</formula>
    </cfRule>
    <cfRule type="expression" dxfId="74" priority="4" stopIfTrue="1">
      <formula>C7=KeySick</formula>
    </cfRule>
    <cfRule type="expression" dxfId="73" priority="5" stopIfTrue="1">
      <formula>C7=KeyPersonal</formula>
    </cfRule>
    <cfRule type="expression" dxfId="72" priority="6" stopIfTrue="1">
      <formula>C7=KeyHoliday</formula>
    </cfRule>
  </conditionalFormatting>
  <conditionalFormatting sqref="AH7:AH11">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Automatically updated year based on year entered in January worksheet" sqref="AH4" xr:uid="{00000000-0002-0000-0B00-000000000000}"/>
    <dataValidation allowBlank="1" showInputMessage="1" showErrorMessage="1" prompt="Automatically calculates total number of days an employee was absent this month in this column" sqref="AH6" xr:uid="{00000000-0002-0000-0B00-000001000000}"/>
    <dataValidation allowBlank="1" showInputMessage="1" showErrorMessage="1" prompt="Track December absence in this worksheet" sqref="A1" xr:uid="{00000000-0002-0000-0B00-000002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B00-000003000000}"/>
    <dataValidation allowBlank="1" showInputMessage="1" showErrorMessage="1" prompt="Automatically updated title is in this cell. To modify the title, update B1 on January worksheet" sqref="B1" xr:uid="{00000000-0002-0000-0B00-000004000000}"/>
    <dataValidation allowBlank="1" showInputMessage="1" showErrorMessage="1" prompt="The letter &quot;H&quot; indicates absence due to holiday" sqref="C2" xr:uid="{00000000-0002-0000-0B00-000005000000}"/>
    <dataValidation allowBlank="1" showInputMessage="1" showErrorMessage="1" prompt="The letter &quot;P&quot; indicates absence due to personal reasons" sqref="G2" xr:uid="{00000000-0002-0000-0B00-000006000000}"/>
    <dataValidation allowBlank="1" showInputMessage="1" showErrorMessage="1" prompt="The letter &quot;S&quot; indicates absence due to illness" sqref="K2" xr:uid="{00000000-0002-0000-0B00-000007000000}"/>
    <dataValidation allowBlank="1" showInputMessage="1" showErrorMessage="1" prompt="Enter a letter and customise the label to the right to add another key item" sqref="N2 R2" xr:uid="{00000000-0002-0000-0B00-000008000000}"/>
    <dataValidation allowBlank="1" showInputMessage="1" showErrorMessage="1" prompt="Enter a label to describe the custom key to the left" sqref="O2:Q2 S2:U2" xr:uid="{00000000-0002-0000-0B00-000009000000}"/>
    <dataValidation allowBlank="1" showInputMessage="1" showErrorMessage="1" prompt="This row defines the keys used in the table: cell C2 is Holiday, G2 is Personal &amp; K2 is Sick leave. Cells N2 &amp; R2 are customisable " sqref="B2" xr:uid="{00000000-0002-0000-0B00-00000A000000}"/>
    <dataValidation allowBlank="1" showInputMessage="1" showErrorMessage="1" prompt="Month name for this absence schedule is in this cell. Absence totals for this month are in last cell of the table. Select employee names in table column B" sqref="B4" xr:uid="{00000000-0002-0000-0B00-00000B000000}"/>
    <dataValidation allowBlank="1" showInputMessage="1" showErrorMessage="1" prompt="Weekdays in this row are automatically updated for the month according to the year in AH4. Each day of the month is a column to note an employee's absence and absence type" sqref="C5" xr:uid="{00000000-0002-0000-0B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B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E000000}">
          <x14:formula1>
            <xm:f>'Employee Names'!$B$4:$B$8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B1:B8"/>
  <sheetViews>
    <sheetView showGridLines="0" workbookViewId="0">
      <selection activeCell="B1" sqref="B1"/>
    </sheetView>
  </sheetViews>
  <sheetFormatPr baseColWidth="10" defaultColWidth="8.83203125" defaultRowHeight="30" customHeight="1" x14ac:dyDescent="0.2"/>
  <cols>
    <col min="1" max="1" width="2.6640625" style="4" customWidth="1"/>
    <col min="2" max="2" width="30.6640625" style="4" customWidth="1"/>
    <col min="3" max="3" width="2.6640625" style="4" customWidth="1"/>
    <col min="4" max="16384" width="8.83203125" style="4"/>
  </cols>
  <sheetData>
    <row r="1" spans="2:2" ht="50" customHeight="1" x14ac:dyDescent="0.2">
      <c r="B1" s="24" t="s">
        <v>64</v>
      </c>
    </row>
    <row r="2" spans="2:2" ht="15" customHeight="1" x14ac:dyDescent="0.2"/>
    <row r="3" spans="2:2" ht="30" customHeight="1" x14ac:dyDescent="0.2">
      <c r="B3" s="4" t="s">
        <v>64</v>
      </c>
    </row>
    <row r="4" spans="2:2" ht="30" customHeight="1" x14ac:dyDescent="0.2">
      <c r="B4" s="23" t="s">
        <v>4</v>
      </c>
    </row>
    <row r="5" spans="2:2" ht="30" customHeight="1" x14ac:dyDescent="0.2">
      <c r="B5" s="23" t="s">
        <v>5</v>
      </c>
    </row>
    <row r="6" spans="2:2" ht="30" customHeight="1" x14ac:dyDescent="0.2">
      <c r="B6" s="23" t="s">
        <v>6</v>
      </c>
    </row>
    <row r="7" spans="2:2" ht="30" customHeight="1" x14ac:dyDescent="0.2">
      <c r="B7" s="23" t="s">
        <v>7</v>
      </c>
    </row>
    <row r="8" spans="2:2" ht="30" customHeight="1" x14ac:dyDescent="0.2">
      <c r="B8" s="23" t="s">
        <v>8</v>
      </c>
    </row>
  </sheetData>
  <dataValidations count="3">
    <dataValidation allowBlank="1" showInputMessage="1" showErrorMessage="1" prompt="Employee names title" sqref="B1" xr:uid="{00000000-0002-0000-0C00-000000000000}"/>
    <dataValidation allowBlank="1" showInputMessage="1" showErrorMessage="1" prompt="Enter employee names in the employee name table in this worksheet. These names are used as options in Column B of each month's absence table" sqref="A1" xr:uid="{00000000-0002-0000-0C00-000001000000}"/>
    <dataValidation allowBlank="1" showInputMessage="1" showErrorMessage="1" prompt="Enter employee names in this column" sqref="B3" xr:uid="{00000000-0002-0000-0C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AH12"/>
  <sheetViews>
    <sheetView showGridLines="0" zoomScaleNormal="100" workbookViewId="0">
      <selection activeCell="B1" sqref="B1"/>
    </sheetView>
  </sheetViews>
  <sheetFormatPr baseColWidth="10" defaultColWidth="9.16406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9.1640625" style="4"/>
  </cols>
  <sheetData>
    <row r="1" spans="2:34" ht="50" customHeight="1" x14ac:dyDescent="0.2">
      <c r="B1" s="21"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4"/>
    </row>
    <row r="4" spans="2:34" ht="30" customHeight="1" x14ac:dyDescent="0.2">
      <c r="B4" s="12" t="s">
        <v>51</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TEXT(WEEKDAY(DATE(CalendarYear,2,1),1),"aaa")</f>
        <v>Tue</v>
      </c>
      <c r="D5" s="13" t="str">
        <f>TEXT(WEEKDAY(DATE(CalendarYear,2,2),1),"aaa")</f>
        <v>Wed</v>
      </c>
      <c r="E5" s="13" t="str">
        <f>TEXT(WEEKDAY(DATE(CalendarYear,2,3),1),"aaa")</f>
        <v>Thu</v>
      </c>
      <c r="F5" s="13" t="str">
        <f>TEXT(WEEKDAY(DATE(CalendarYear,2,4),1),"aaa")</f>
        <v>Fri</v>
      </c>
      <c r="G5" s="13" t="str">
        <f>TEXT(WEEKDAY(DATE(CalendarYear,2,5),1),"aaa")</f>
        <v>Sat</v>
      </c>
      <c r="H5" s="13" t="str">
        <f>TEXT(WEEKDAY(DATE(CalendarYear,2,6),1),"aaa")</f>
        <v>Sun</v>
      </c>
      <c r="I5" s="13" t="str">
        <f>TEXT(WEEKDAY(DATE(CalendarYear,2,7),1),"aaa")</f>
        <v>Mon</v>
      </c>
      <c r="J5" s="13" t="str">
        <f>TEXT(WEEKDAY(DATE(CalendarYear,2,8),1),"aaa")</f>
        <v>Tue</v>
      </c>
      <c r="K5" s="13" t="str">
        <f>TEXT(WEEKDAY(DATE(CalendarYear,2,9),1),"aaa")</f>
        <v>Wed</v>
      </c>
      <c r="L5" s="13" t="str">
        <f>TEXT(WEEKDAY(DATE(CalendarYear,2,10),1),"aaa")</f>
        <v>Thu</v>
      </c>
      <c r="M5" s="13" t="str">
        <f>TEXT(WEEKDAY(DATE(CalendarYear,2,11),1),"aaa")</f>
        <v>Fri</v>
      </c>
      <c r="N5" s="13" t="str">
        <f>TEXT(WEEKDAY(DATE(CalendarYear,2,12),1),"aaa")</f>
        <v>Sat</v>
      </c>
      <c r="O5" s="13" t="str">
        <f>TEXT(WEEKDAY(DATE(CalendarYear,2,13),1),"aaa")</f>
        <v>Sun</v>
      </c>
      <c r="P5" s="13" t="str">
        <f>TEXT(WEEKDAY(DATE(CalendarYear,2,14),1),"aaa")</f>
        <v>Mon</v>
      </c>
      <c r="Q5" s="13" t="str">
        <f>TEXT(WEEKDAY(DATE(CalendarYear,2,15),1),"aaa")</f>
        <v>Tue</v>
      </c>
      <c r="R5" s="13" t="str">
        <f>TEXT(WEEKDAY(DATE(CalendarYear,2,16),1),"aaa")</f>
        <v>Wed</v>
      </c>
      <c r="S5" s="13" t="str">
        <f>TEXT(WEEKDAY(DATE(CalendarYear,2,17),1),"aaa")</f>
        <v>Thu</v>
      </c>
      <c r="T5" s="13" t="str">
        <f>TEXT(WEEKDAY(DATE(CalendarYear,2,18),1),"aaa")</f>
        <v>Fri</v>
      </c>
      <c r="U5" s="13" t="str">
        <f>TEXT(WEEKDAY(DATE(CalendarYear,2,19),1),"aaa")</f>
        <v>Sat</v>
      </c>
      <c r="V5" s="13" t="str">
        <f>TEXT(WEEKDAY(DATE(CalendarYear,2,20),1),"aaa")</f>
        <v>Sun</v>
      </c>
      <c r="W5" s="13" t="str">
        <f>TEXT(WEEKDAY(DATE(CalendarYear,2,21),1),"aaa")</f>
        <v>Mon</v>
      </c>
      <c r="X5" s="13" t="str">
        <f>TEXT(WEEKDAY(DATE(CalendarYear,2,22),1),"aaa")</f>
        <v>Tue</v>
      </c>
      <c r="Y5" s="13" t="str">
        <f>TEXT(WEEKDAY(DATE(CalendarYear,2,23),1),"aaa")</f>
        <v>Wed</v>
      </c>
      <c r="Z5" s="13" t="str">
        <f>TEXT(WEEKDAY(DATE(CalendarYear,2,24),1),"aaa")</f>
        <v>Thu</v>
      </c>
      <c r="AA5" s="13" t="str">
        <f>TEXT(WEEKDAY(DATE(CalendarYear,2,25),1),"aaa")</f>
        <v>Fri</v>
      </c>
      <c r="AB5" s="13" t="str">
        <f>TEXT(WEEKDAY(DATE(CalendarYear,2,26),1),"aaa")</f>
        <v>Sat</v>
      </c>
      <c r="AC5" s="13" t="str">
        <f>TEXT(WEEKDAY(DATE(CalendarYear,2,27),1),"aaa")</f>
        <v>Sun</v>
      </c>
      <c r="AD5" s="13" t="str">
        <f>TEXT(WEEKDAY(DATE(CalendarYear,2,28),1),"aaa")</f>
        <v>Mon</v>
      </c>
      <c r="AE5" s="13" t="str">
        <f>TEXT(WEEKDAY(DATE(CalendarYear,2,29),1),"aaa")</f>
        <v>Tue</v>
      </c>
      <c r="AF5" s="13"/>
      <c r="AG5" s="13"/>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52</v>
      </c>
      <c r="AG6" s="15" t="s">
        <v>53</v>
      </c>
      <c r="AH6" s="16" t="s">
        <v>50</v>
      </c>
    </row>
    <row r="7" spans="2:34" ht="30" customHeight="1" x14ac:dyDescent="0.2">
      <c r="B7" s="22" t="s">
        <v>4</v>
      </c>
      <c r="C7" s="15"/>
      <c r="D7" s="15"/>
      <c r="E7" s="15" t="s">
        <v>9</v>
      </c>
      <c r="F7" s="15" t="s">
        <v>9</v>
      </c>
      <c r="G7" s="15" t="s">
        <v>9</v>
      </c>
      <c r="H7" s="15" t="s">
        <v>9</v>
      </c>
      <c r="I7" s="15"/>
      <c r="J7" s="15"/>
      <c r="K7" s="15"/>
      <c r="L7" s="15"/>
      <c r="M7" s="15"/>
      <c r="N7" s="15"/>
      <c r="O7" s="15" t="s">
        <v>9</v>
      </c>
      <c r="P7" s="15"/>
      <c r="Q7" s="15"/>
      <c r="R7" s="15"/>
      <c r="S7" s="15"/>
      <c r="T7" s="15"/>
      <c r="U7" s="15"/>
      <c r="V7" s="15"/>
      <c r="W7" s="15"/>
      <c r="X7" s="15"/>
      <c r="Y7" s="15"/>
      <c r="Z7" s="15"/>
      <c r="AA7" s="15"/>
      <c r="AB7" s="15"/>
      <c r="AC7" s="15"/>
      <c r="AD7" s="15"/>
      <c r="AE7" s="15"/>
      <c r="AF7" s="15"/>
      <c r="AG7" s="15"/>
      <c r="AH7" s="18">
        <f>COUNTA(February[[#This Row],[1]:[29]])</f>
        <v>5</v>
      </c>
    </row>
    <row r="8" spans="2:34" ht="30" customHeight="1" x14ac:dyDescent="0.2">
      <c r="B8" s="22" t="s">
        <v>5</v>
      </c>
      <c r="C8" s="15"/>
      <c r="D8" s="15"/>
      <c r="E8" s="15"/>
      <c r="F8" s="15"/>
      <c r="G8" s="15" t="s">
        <v>17</v>
      </c>
      <c r="H8" s="15" t="s">
        <v>17</v>
      </c>
      <c r="I8" s="15"/>
      <c r="J8" s="15"/>
      <c r="K8" s="15"/>
      <c r="L8" s="15"/>
      <c r="M8" s="15" t="s">
        <v>15</v>
      </c>
      <c r="N8" s="15"/>
      <c r="O8" s="15"/>
      <c r="P8" s="15"/>
      <c r="Q8" s="15"/>
      <c r="R8" s="15"/>
      <c r="S8" s="15"/>
      <c r="T8" s="15"/>
      <c r="U8" s="15"/>
      <c r="V8" s="15" t="s">
        <v>17</v>
      </c>
      <c r="W8" s="15"/>
      <c r="X8" s="15"/>
      <c r="Y8" s="15"/>
      <c r="Z8" s="15"/>
      <c r="AA8" s="15" t="s">
        <v>9</v>
      </c>
      <c r="AB8" s="15" t="s">
        <v>9</v>
      </c>
      <c r="AC8" s="15" t="s">
        <v>9</v>
      </c>
      <c r="AD8" s="15"/>
      <c r="AE8" s="15"/>
      <c r="AF8" s="15"/>
      <c r="AG8" s="15"/>
      <c r="AH8" s="18">
        <f>COUNTA(February[[#This Row],[1]:[29]])</f>
        <v>7</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COUNTA(February[[#This Row],[1]:[29]])</f>
        <v>0</v>
      </c>
    </row>
    <row r="10" spans="2:34" ht="30" customHeight="1" x14ac:dyDescent="0.2">
      <c r="B10" s="22" t="s">
        <v>7</v>
      </c>
      <c r="C10" s="15"/>
      <c r="D10" s="15"/>
      <c r="E10" s="15" t="s">
        <v>17</v>
      </c>
      <c r="F10" s="15"/>
      <c r="G10" s="15"/>
      <c r="H10" s="15"/>
      <c r="I10" s="15"/>
      <c r="J10" s="15"/>
      <c r="K10" s="15"/>
      <c r="L10" s="15"/>
      <c r="M10" s="15"/>
      <c r="N10" s="15"/>
      <c r="O10" s="15"/>
      <c r="P10" s="15" t="s">
        <v>17</v>
      </c>
      <c r="Q10" s="15"/>
      <c r="R10" s="15"/>
      <c r="S10" s="15"/>
      <c r="T10" s="15" t="s">
        <v>15</v>
      </c>
      <c r="U10" s="15"/>
      <c r="V10" s="15"/>
      <c r="W10" s="15"/>
      <c r="X10" s="15"/>
      <c r="Y10" s="15"/>
      <c r="Z10" s="15"/>
      <c r="AA10" s="15"/>
      <c r="AB10" s="15"/>
      <c r="AC10" s="15"/>
      <c r="AD10" s="15" t="s">
        <v>17</v>
      </c>
      <c r="AE10" s="15"/>
      <c r="AF10" s="15"/>
      <c r="AG10" s="15"/>
      <c r="AH10" s="18">
        <f>COUNTA(February[[#This Row],[1]:[29]])</f>
        <v>4</v>
      </c>
    </row>
    <row r="11" spans="2:34" ht="30" customHeight="1" x14ac:dyDescent="0.2">
      <c r="B11" s="22" t="s">
        <v>8</v>
      </c>
      <c r="C11" s="15"/>
      <c r="D11" s="15"/>
      <c r="E11" s="15"/>
      <c r="F11" s="15"/>
      <c r="G11" s="15"/>
      <c r="H11" s="15"/>
      <c r="I11" s="15"/>
      <c r="J11" s="15" t="s">
        <v>9</v>
      </c>
      <c r="K11" s="15" t="s">
        <v>9</v>
      </c>
      <c r="L11" s="15" t="s">
        <v>9</v>
      </c>
      <c r="M11" s="15" t="s">
        <v>9</v>
      </c>
      <c r="N11" s="15"/>
      <c r="O11" s="15"/>
      <c r="P11" s="15"/>
      <c r="Q11" s="15"/>
      <c r="R11" s="15"/>
      <c r="S11" s="15"/>
      <c r="T11" s="15"/>
      <c r="U11" s="15"/>
      <c r="V11" s="15"/>
      <c r="W11" s="15"/>
      <c r="X11" s="15"/>
      <c r="Y11" s="15"/>
      <c r="Z11" s="15" t="s">
        <v>17</v>
      </c>
      <c r="AA11" s="15"/>
      <c r="AB11" s="15"/>
      <c r="AC11" s="15"/>
      <c r="AD11" s="15"/>
      <c r="AE11" s="15"/>
      <c r="AF11" s="15"/>
      <c r="AG11" s="15"/>
      <c r="AH11" s="18">
        <f>COUNTA(February[[#This Row],[1]:[29]])</f>
        <v>5</v>
      </c>
    </row>
    <row r="12" spans="2:34" ht="30" customHeight="1" x14ac:dyDescent="0.2">
      <c r="B12" s="19" t="str">
        <f>MonthName&amp;" Total"</f>
        <v>February Total</v>
      </c>
      <c r="C12" s="20">
        <f>SUBTOTAL(103,February[1])</f>
        <v>0</v>
      </c>
      <c r="D12" s="20">
        <f>SUBTOTAL(103,February[2])</f>
        <v>0</v>
      </c>
      <c r="E12" s="20">
        <f>SUBTOTAL(103,February[3])</f>
        <v>2</v>
      </c>
      <c r="F12" s="20">
        <f>SUBTOTAL(103,February[4])</f>
        <v>1</v>
      </c>
      <c r="G12" s="20">
        <f>SUBTOTAL(103,February[5])</f>
        <v>2</v>
      </c>
      <c r="H12" s="20">
        <f>SUBTOTAL(103,February[6])</f>
        <v>2</v>
      </c>
      <c r="I12" s="20">
        <f>SUBTOTAL(103,February[7])</f>
        <v>0</v>
      </c>
      <c r="J12" s="20">
        <f>SUBTOTAL(103,February[8])</f>
        <v>1</v>
      </c>
      <c r="K12" s="20">
        <f>SUBTOTAL(103,February[9])</f>
        <v>1</v>
      </c>
      <c r="L12" s="20">
        <f>SUBTOTAL(103,February[10])</f>
        <v>1</v>
      </c>
      <c r="M12" s="20">
        <f>SUBTOTAL(103,February[11])</f>
        <v>2</v>
      </c>
      <c r="N12" s="20">
        <f>SUBTOTAL(103,February[12])</f>
        <v>0</v>
      </c>
      <c r="O12" s="20">
        <f>SUBTOTAL(103,February[13])</f>
        <v>1</v>
      </c>
      <c r="P12" s="20">
        <f>SUBTOTAL(103,February[14])</f>
        <v>1</v>
      </c>
      <c r="Q12" s="20">
        <f>SUBTOTAL(103,February[15])</f>
        <v>0</v>
      </c>
      <c r="R12" s="20">
        <f>SUBTOTAL(103,February[16])</f>
        <v>0</v>
      </c>
      <c r="S12" s="20">
        <f>SUBTOTAL(103,February[17])</f>
        <v>0</v>
      </c>
      <c r="T12" s="20">
        <f>SUBTOTAL(103,February[18])</f>
        <v>1</v>
      </c>
      <c r="U12" s="20">
        <f>SUBTOTAL(103,February[19])</f>
        <v>0</v>
      </c>
      <c r="V12" s="20">
        <f>SUBTOTAL(103,February[20])</f>
        <v>1</v>
      </c>
      <c r="W12" s="20">
        <f>SUBTOTAL(103,February[21])</f>
        <v>0</v>
      </c>
      <c r="X12" s="20">
        <f>SUBTOTAL(103,February[22])</f>
        <v>0</v>
      </c>
      <c r="Y12" s="20">
        <f>SUBTOTAL(103,February[23])</f>
        <v>0</v>
      </c>
      <c r="Z12" s="20">
        <f>SUBTOTAL(103,February[24])</f>
        <v>1</v>
      </c>
      <c r="AA12" s="20">
        <f>SUBTOTAL(103,February[25])</f>
        <v>1</v>
      </c>
      <c r="AB12" s="20">
        <f>SUBTOTAL(103,February[26])</f>
        <v>1</v>
      </c>
      <c r="AC12" s="20">
        <f>SUBTOTAL(103,February[27])</f>
        <v>1</v>
      </c>
      <c r="AD12" s="20">
        <f>SUBTOTAL(103,February[28])</f>
        <v>1</v>
      </c>
      <c r="AE12" s="20">
        <f>SUBTOTAL(103,February[29])</f>
        <v>0</v>
      </c>
      <c r="AF12" s="20"/>
      <c r="AG12" s="20"/>
      <c r="AH12" s="20">
        <f>SUBTOTAL(109,February[Total Days])</f>
        <v>21</v>
      </c>
    </row>
  </sheetData>
  <mergeCells count="6">
    <mergeCell ref="C4:AG4"/>
    <mergeCell ref="D2:F2"/>
    <mergeCell ref="H2:J2"/>
    <mergeCell ref="L2:M2"/>
    <mergeCell ref="O2:Q2"/>
    <mergeCell ref="S2:U2"/>
  </mergeCells>
  <conditionalFormatting sqref="AE6">
    <cfRule type="expression" dxfId="818" priority="16">
      <formula>MONTH(DATE(CalendarYear,2,29))&lt;&gt;2</formula>
    </cfRule>
  </conditionalFormatting>
  <conditionalFormatting sqref="AE5">
    <cfRule type="expression" dxfId="817" priority="15">
      <formula>MONTH(DATE(CalendarYear,2,29))&lt;&gt;2</formula>
    </cfRule>
  </conditionalFormatting>
  <conditionalFormatting sqref="C7:AG11">
    <cfRule type="expression" priority="2" stopIfTrue="1">
      <formula>C7=""</formula>
    </cfRule>
    <cfRule type="expression" dxfId="816" priority="3" stopIfTrue="1">
      <formula>C7=KeyCustom2</formula>
    </cfRule>
  </conditionalFormatting>
  <conditionalFormatting sqref="C7:AG11">
    <cfRule type="expression" dxfId="815" priority="5" stopIfTrue="1">
      <formula>C7=KeyCustom1</formula>
    </cfRule>
    <cfRule type="expression" dxfId="814" priority="6" stopIfTrue="1">
      <formula>C7=KeySick</formula>
    </cfRule>
    <cfRule type="expression" dxfId="813" priority="7" stopIfTrue="1">
      <formula>C7=KeyPersonal</formula>
    </cfRule>
    <cfRule type="expression" dxfId="812" priority="8" stopIfTrue="1">
      <formula>C7=KeyHoliday</formula>
    </cfRule>
  </conditionalFormatting>
  <conditionalFormatting sqref="AH7:AH11">
    <cfRule type="dataBar" priority="153">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dataValidations xWindow="232" yWindow="365" count="14">
    <dataValidation allowBlank="1" showInputMessage="1" showErrorMessage="1" prompt="Automatically updated year based on year entered in January worksheet" sqref="AH4" xr:uid="{00000000-0002-0000-0100-000000000000}"/>
    <dataValidation allowBlank="1" showInputMessage="1" showErrorMessage="1" prompt="Track February absence in this worksheet" sqref="A1" xr:uid="{00000000-0002-0000-0100-000001000000}"/>
    <dataValidation allowBlank="1" showInputMessage="1" showErrorMessage="1" prompt="Automatically calculates total number of days an employee was absent this month in this column" sqref="AH6" xr:uid="{00000000-0002-0000-0100-000002000000}"/>
    <dataValidation allowBlank="1" showInputMessage="1" showErrorMessage="1" prompt="Automatically updated title is in this cell. To modify the title, update B1 on January worksheet" sqref="B1" xr:uid="{00000000-0002-0000-0100-000003000000}"/>
    <dataValidation allowBlank="1" showInputMessage="1" showErrorMessage="1" prompt="Month name for this absence schedule is in this cell. Absence totals for this month are in last cell of the table. Select employee names in table column B" sqref="B4" xr:uid="{00000000-0002-0000-0100-000004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100-000005000000}"/>
    <dataValidation allowBlank="1" showInputMessage="1" showErrorMessage="1" prompt="This row defines the keys used in the table: cell C2 is Holiday, G2 is Personal &amp; K2 is Sick leave. Cells N2 &amp; R2 are customisable " sqref="B2" xr:uid="{00000000-0002-0000-0100-000006000000}"/>
    <dataValidation allowBlank="1" showInputMessage="1" showErrorMessage="1" prompt="Enter a label to describe the custom key to the left" sqref="O2:Q2 S2:U2" xr:uid="{00000000-0002-0000-0100-000007000000}"/>
    <dataValidation allowBlank="1" showInputMessage="1" showErrorMessage="1" prompt="Enter a letter and customise the label to the right to add another key item" sqref="N2 R2" xr:uid="{00000000-0002-0000-0100-000008000000}"/>
    <dataValidation allowBlank="1" showInputMessage="1" showErrorMessage="1" prompt="The letter &quot;S&quot; indicates absence due to illness" sqref="K2" xr:uid="{00000000-0002-0000-0100-000009000000}"/>
    <dataValidation allowBlank="1" showInputMessage="1" showErrorMessage="1" prompt="The letter &quot;P&quot; indicates absence due to personal reasons" sqref="G2" xr:uid="{00000000-0002-0000-0100-00000A000000}"/>
    <dataValidation allowBlank="1" showInputMessage="1" showErrorMessage="1" prompt="The letter &quot;H&quot; indicates absence due to holiday" sqref="C2" xr:uid="{00000000-0002-0000-0100-00000B000000}"/>
    <dataValidation allowBlank="1" showInputMessage="1" showErrorMessage="1" prompt="Weekdays in this row are automatically updated for the month according to the year in AH4. Each day of the month is a column to note an employee's absence and absence type" sqref="C5" xr:uid="{00000000-0002-0000-01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1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r:uid="{00000000-0002-0000-0100-00000E000000}">
          <x14:formula1>
            <xm:f>'Employee Names'!$B$4:$B$8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54</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TEXT(WEEKDAY(DATE(CalendarYear,3,1),1),"aaa")</f>
        <v>Tue</v>
      </c>
      <c r="D5" s="13" t="str">
        <f>TEXT(WEEKDAY(DATE(CalendarYear,3,2),1),"aaa")</f>
        <v>Wed</v>
      </c>
      <c r="E5" s="13" t="str">
        <f>TEXT(WEEKDAY(DATE(CalendarYear,3,3),1),"aaa")</f>
        <v>Thu</v>
      </c>
      <c r="F5" s="13" t="str">
        <f>TEXT(WEEKDAY(DATE(CalendarYear,3,4),1),"aaa")</f>
        <v>Fri</v>
      </c>
      <c r="G5" s="13" t="str">
        <f>TEXT(WEEKDAY(DATE(CalendarYear,3,5),1),"aaa")</f>
        <v>Sat</v>
      </c>
      <c r="H5" s="13" t="str">
        <f>TEXT(WEEKDAY(DATE(CalendarYear,3,6),1),"aaa")</f>
        <v>Sun</v>
      </c>
      <c r="I5" s="13" t="str">
        <f>TEXT(WEEKDAY(DATE(CalendarYear,3,7),1),"aaa")</f>
        <v>Mon</v>
      </c>
      <c r="J5" s="13" t="str">
        <f>TEXT(WEEKDAY(DATE(CalendarYear,3,8),1),"aaa")</f>
        <v>Tue</v>
      </c>
      <c r="K5" s="13" t="str">
        <f>TEXT(WEEKDAY(DATE(CalendarYear,3,9),1),"aaa")</f>
        <v>Wed</v>
      </c>
      <c r="L5" s="13" t="str">
        <f>TEXT(WEEKDAY(DATE(CalendarYear,3,10),1),"aaa")</f>
        <v>Thu</v>
      </c>
      <c r="M5" s="13" t="str">
        <f>TEXT(WEEKDAY(DATE(CalendarYear,3,11),1),"aaa")</f>
        <v>Fri</v>
      </c>
      <c r="N5" s="13" t="str">
        <f>TEXT(WEEKDAY(DATE(CalendarYear,3,12),1),"aaa")</f>
        <v>Sat</v>
      </c>
      <c r="O5" s="13" t="str">
        <f>TEXT(WEEKDAY(DATE(CalendarYear,3,13),1),"aaa")</f>
        <v>Sun</v>
      </c>
      <c r="P5" s="13" t="str">
        <f>TEXT(WEEKDAY(DATE(CalendarYear,3,14),1),"aaa")</f>
        <v>Mon</v>
      </c>
      <c r="Q5" s="13" t="str">
        <f>TEXT(WEEKDAY(DATE(CalendarYear,3,15),1),"aaa")</f>
        <v>Tue</v>
      </c>
      <c r="R5" s="13" t="str">
        <f>TEXT(WEEKDAY(DATE(CalendarYear,3,16),1),"aaa")</f>
        <v>Wed</v>
      </c>
      <c r="S5" s="13" t="str">
        <f>TEXT(WEEKDAY(DATE(CalendarYear,3,17),1),"aaa")</f>
        <v>Thu</v>
      </c>
      <c r="T5" s="13" t="str">
        <f>TEXT(WEEKDAY(DATE(CalendarYear,3,18),1),"aaa")</f>
        <v>Fri</v>
      </c>
      <c r="U5" s="13" t="str">
        <f>TEXT(WEEKDAY(DATE(CalendarYear,3,19),1),"aaa")</f>
        <v>Sat</v>
      </c>
      <c r="V5" s="13" t="str">
        <f>TEXT(WEEKDAY(DATE(CalendarYear,3,20),1),"aaa")</f>
        <v>Sun</v>
      </c>
      <c r="W5" s="13" t="str">
        <f>TEXT(WEEKDAY(DATE(CalendarYear,3,21),1),"aaa")</f>
        <v>Mon</v>
      </c>
      <c r="X5" s="13" t="str">
        <f>TEXT(WEEKDAY(DATE(CalendarYear,3,22),1),"aaa")</f>
        <v>Tue</v>
      </c>
      <c r="Y5" s="13" t="str">
        <f>TEXT(WEEKDAY(DATE(CalendarYear,3,23),1),"aaa")</f>
        <v>Wed</v>
      </c>
      <c r="Z5" s="13" t="str">
        <f>TEXT(WEEKDAY(DATE(CalendarYear,3,24),1),"aaa")</f>
        <v>Thu</v>
      </c>
      <c r="AA5" s="13" t="str">
        <f>TEXT(WEEKDAY(DATE(CalendarYear,3,25),1),"aaa")</f>
        <v>Fri</v>
      </c>
      <c r="AB5" s="13" t="str">
        <f>TEXT(WEEKDAY(DATE(CalendarYear,3,26),1),"aaa")</f>
        <v>Sat</v>
      </c>
      <c r="AC5" s="13" t="str">
        <f>TEXT(WEEKDAY(DATE(CalendarYear,3,27),1),"aaa")</f>
        <v>Sun</v>
      </c>
      <c r="AD5" s="13" t="str">
        <f>TEXT(WEEKDAY(DATE(CalendarYear,3,28),1),"aaa")</f>
        <v>Mon</v>
      </c>
      <c r="AE5" s="13" t="str">
        <f>TEXT(WEEKDAY(DATE(CalendarYear,3,29),1),"aaa")</f>
        <v>Tue</v>
      </c>
      <c r="AF5" s="13" t="str">
        <f>TEXT(WEEKDAY(DATE(CalendarYear,3,30),1),"aaa")</f>
        <v>Wed</v>
      </c>
      <c r="AG5" s="13" t="str">
        <f>TEXT(WEEKDAY(DATE(CalendarYear,3,31),1),"aaa")</f>
        <v>Thu</v>
      </c>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COUNTA(March[[#This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COUNTA(March[[#This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COUNTA(March[[#This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COUNTA(March[[#This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COUNTA(March[[#This Row],[1]:[31]])</f>
        <v>0</v>
      </c>
    </row>
    <row r="12" spans="2:34" ht="30" customHeight="1" x14ac:dyDescent="0.2">
      <c r="B12" s="19" t="str">
        <f>MonthName&amp;" Total"</f>
        <v>March Total</v>
      </c>
      <c r="C12" s="20">
        <f>SUBTOTAL(103,March[1])</f>
        <v>0</v>
      </c>
      <c r="D12" s="20">
        <f>SUBTOTAL(103,March[2])</f>
        <v>0</v>
      </c>
      <c r="E12" s="20">
        <f>SUBTOTAL(103,March[3])</f>
        <v>0</v>
      </c>
      <c r="F12" s="20">
        <f>SUBTOTAL(103,March[4])</f>
        <v>0</v>
      </c>
      <c r="G12" s="20">
        <f>SUBTOTAL(103,March[5])</f>
        <v>0</v>
      </c>
      <c r="H12" s="20">
        <f>SUBTOTAL(103,March[6])</f>
        <v>0</v>
      </c>
      <c r="I12" s="20">
        <f>SUBTOTAL(103,March[7])</f>
        <v>0</v>
      </c>
      <c r="J12" s="20">
        <f>SUBTOTAL(103,March[8])</f>
        <v>0</v>
      </c>
      <c r="K12" s="20">
        <f>SUBTOTAL(103,March[9])</f>
        <v>0</v>
      </c>
      <c r="L12" s="20">
        <f>SUBTOTAL(103,March[10])</f>
        <v>0</v>
      </c>
      <c r="M12" s="20">
        <f>SUBTOTAL(103,March[11])</f>
        <v>0</v>
      </c>
      <c r="N12" s="20">
        <f>SUBTOTAL(103,March[12])</f>
        <v>0</v>
      </c>
      <c r="O12" s="20">
        <f>SUBTOTAL(103,March[13])</f>
        <v>0</v>
      </c>
      <c r="P12" s="20">
        <f>SUBTOTAL(103,March[14])</f>
        <v>0</v>
      </c>
      <c r="Q12" s="20">
        <f>SUBTOTAL(103,March[15])</f>
        <v>0</v>
      </c>
      <c r="R12" s="20">
        <f>SUBTOTAL(103,March[16])</f>
        <v>0</v>
      </c>
      <c r="S12" s="20">
        <f>SUBTOTAL(103,March[17])</f>
        <v>0</v>
      </c>
      <c r="T12" s="20">
        <f>SUBTOTAL(103,March[18])</f>
        <v>0</v>
      </c>
      <c r="U12" s="20">
        <f>SUBTOTAL(103,March[19])</f>
        <v>0</v>
      </c>
      <c r="V12" s="20">
        <f>SUBTOTAL(103,March[20])</f>
        <v>0</v>
      </c>
      <c r="W12" s="20">
        <f>SUBTOTAL(103,March[21])</f>
        <v>0</v>
      </c>
      <c r="X12" s="20">
        <f>SUBTOTAL(103,March[22])</f>
        <v>0</v>
      </c>
      <c r="Y12" s="20">
        <f>SUBTOTAL(103,March[23])</f>
        <v>0</v>
      </c>
      <c r="Z12" s="20">
        <f>SUBTOTAL(103,March[24])</f>
        <v>0</v>
      </c>
      <c r="AA12" s="20">
        <f>SUBTOTAL(103,March[25])</f>
        <v>0</v>
      </c>
      <c r="AB12" s="20">
        <f>SUBTOTAL(103,March[26])</f>
        <v>0</v>
      </c>
      <c r="AC12" s="20">
        <f>SUBTOTAL(103,March[27])</f>
        <v>0</v>
      </c>
      <c r="AD12" s="20">
        <f>SUBTOTAL(103,March[28])</f>
        <v>0</v>
      </c>
      <c r="AE12" s="20">
        <f>SUBTOTAL(103,March[29])</f>
        <v>0</v>
      </c>
      <c r="AF12" s="20">
        <f>SUBTOTAL(103,March[30])</f>
        <v>0</v>
      </c>
      <c r="AG12" s="20">
        <f>SUBTOTAL(109,March[31])</f>
        <v>0</v>
      </c>
      <c r="AH12" s="20">
        <f>SUBTOTAL(109,March[Total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42" priority="2" stopIfTrue="1">
      <formula>C7=KeyCustom2</formula>
    </cfRule>
    <cfRule type="expression" dxfId="741" priority="3" stopIfTrue="1">
      <formula>C7=KeyCustom1</formula>
    </cfRule>
    <cfRule type="expression" dxfId="740" priority="4" stopIfTrue="1">
      <formula>C7=KeySick</formula>
    </cfRule>
    <cfRule type="expression" dxfId="739" priority="5" stopIfTrue="1">
      <formula>C7=KeyPersonal</formula>
    </cfRule>
    <cfRule type="expression" dxfId="738"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200-000000000000}"/>
    <dataValidation allowBlank="1" showInputMessage="1" showErrorMessage="1" prompt="Weekdays in this row are automatically updated for the month according to the year in AH4. Each day of the month is a column to note an employee's absence and absence type" sqref="C5" xr:uid="{00000000-0002-0000-0200-000001000000}"/>
    <dataValidation allowBlank="1" showInputMessage="1" showErrorMessage="1" prompt="Month name for this absence schedule is in this cell. Absence totals for this month are in last cell of the table. Select employee names in table column B" sqref="B4" xr:uid="{00000000-0002-0000-0200-000002000000}"/>
    <dataValidation allowBlank="1" showInputMessage="1" showErrorMessage="1" prompt="This row defines the keys used in the table: cell C2 is Holiday, G2 is Personal &amp; K2 is Sick leave. Cells N2 &amp; R2 are customisable " sqref="B2" xr:uid="{00000000-0002-0000-0200-000003000000}"/>
    <dataValidation allowBlank="1" showInputMessage="1" showErrorMessage="1" prompt="Enter a label to describe the custom key to the left" sqref="O2:Q2 S2:U2" xr:uid="{00000000-0002-0000-0200-000004000000}"/>
    <dataValidation allowBlank="1" showInputMessage="1" showErrorMessage="1" prompt="Enter a letter and customise the label to the right to add another key item" sqref="N2 R2" xr:uid="{00000000-0002-0000-0200-000005000000}"/>
    <dataValidation allowBlank="1" showInputMessage="1" showErrorMessage="1" prompt="The letter &quot;S&quot; indicates absence due to illness" sqref="K2" xr:uid="{00000000-0002-0000-0200-000006000000}"/>
    <dataValidation allowBlank="1" showInputMessage="1" showErrorMessage="1" prompt="The letter &quot;P&quot; indicates absence due to personal reasons" sqref="G2" xr:uid="{00000000-0002-0000-0200-000007000000}"/>
    <dataValidation allowBlank="1" showInputMessage="1" showErrorMessage="1" prompt="The letter &quot;H&quot; indicates absence due to holiday" sqref="C2" xr:uid="{00000000-0002-0000-0200-000008000000}"/>
    <dataValidation allowBlank="1" showInputMessage="1" showErrorMessage="1" prompt="Automatically updated title is in this cell. To modify the title, update B1 on January worksheet" sqref="B1" xr:uid="{00000000-0002-0000-0200-000009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200-00000A000000}"/>
    <dataValidation allowBlank="1" showInputMessage="1" showErrorMessage="1" prompt="Track March absence in this worksheet" sqref="A1" xr:uid="{00000000-0002-0000-0200-00000B000000}"/>
    <dataValidation allowBlank="1" showInputMessage="1" showErrorMessage="1" prompt="Automatically calculates total number of days an employee was absent this month in this column" sqref="AH6" xr:uid="{00000000-0002-0000-0200-00000C000000}"/>
    <dataValidation allowBlank="1" showInputMessage="1" showErrorMessage="1" prompt="Automatically updated year based on year entered in January worksheet" sqref="AH4" xr:uid="{00000000-0002-0000-02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'Employee Names'!$B$4:$B$8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55</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TEXT(WEEKDAY(DATE(CalendarYear,4,1),1),"aaa")</f>
        <v>Fri</v>
      </c>
      <c r="D5" s="13" t="str">
        <f>TEXT(WEEKDAY(DATE(CalendarYear,4,2),1),"aaa")</f>
        <v>Sat</v>
      </c>
      <c r="E5" s="13" t="str">
        <f>TEXT(WEEKDAY(DATE(CalendarYear,4,3),1),"aaa")</f>
        <v>Sun</v>
      </c>
      <c r="F5" s="13" t="str">
        <f>TEXT(WEEKDAY(DATE(CalendarYear,4,4),1),"aaa")</f>
        <v>Mon</v>
      </c>
      <c r="G5" s="13" t="str">
        <f>TEXT(WEEKDAY(DATE(CalendarYear,4,5),1),"aaa")</f>
        <v>Tue</v>
      </c>
      <c r="H5" s="13" t="str">
        <f>TEXT(WEEKDAY(DATE(CalendarYear,4,6),1),"aaa")</f>
        <v>Wed</v>
      </c>
      <c r="I5" s="13" t="str">
        <f>TEXT(WEEKDAY(DATE(CalendarYear,4,7),1),"aaa")</f>
        <v>Thu</v>
      </c>
      <c r="J5" s="13" t="str">
        <f>TEXT(WEEKDAY(DATE(CalendarYear,4,8),1),"aaa")</f>
        <v>Fri</v>
      </c>
      <c r="K5" s="13" t="str">
        <f>TEXT(WEEKDAY(DATE(CalendarYear,4,9),1),"aaa")</f>
        <v>Sat</v>
      </c>
      <c r="L5" s="13" t="str">
        <f>TEXT(WEEKDAY(DATE(CalendarYear,4,10),1),"aaa")</f>
        <v>Sun</v>
      </c>
      <c r="M5" s="13" t="str">
        <f>TEXT(WEEKDAY(DATE(CalendarYear,4,11),1),"aaa")</f>
        <v>Mon</v>
      </c>
      <c r="N5" s="13" t="str">
        <f>TEXT(WEEKDAY(DATE(CalendarYear,4,12),1),"aaa")</f>
        <v>Tue</v>
      </c>
      <c r="O5" s="13" t="str">
        <f>TEXT(WEEKDAY(DATE(CalendarYear,4,13),1),"aaa")</f>
        <v>Wed</v>
      </c>
      <c r="P5" s="13" t="str">
        <f>TEXT(WEEKDAY(DATE(CalendarYear,4,14),1),"aaa")</f>
        <v>Thu</v>
      </c>
      <c r="Q5" s="13" t="str">
        <f>TEXT(WEEKDAY(DATE(CalendarYear,4,15),1),"aaa")</f>
        <v>Fri</v>
      </c>
      <c r="R5" s="13" t="str">
        <f>TEXT(WEEKDAY(DATE(CalendarYear,4,16),1),"aaa")</f>
        <v>Sat</v>
      </c>
      <c r="S5" s="13" t="str">
        <f>TEXT(WEEKDAY(DATE(CalendarYear,4,17),1),"aaa")</f>
        <v>Sun</v>
      </c>
      <c r="T5" s="13" t="str">
        <f>TEXT(WEEKDAY(DATE(CalendarYear,4,18),1),"aaa")</f>
        <v>Mon</v>
      </c>
      <c r="U5" s="13" t="str">
        <f>TEXT(WEEKDAY(DATE(CalendarYear,4,19),1),"aaa")</f>
        <v>Tue</v>
      </c>
      <c r="V5" s="13" t="str">
        <f>TEXT(WEEKDAY(DATE(CalendarYear,4,20),1),"aaa")</f>
        <v>Wed</v>
      </c>
      <c r="W5" s="13" t="str">
        <f>TEXT(WEEKDAY(DATE(CalendarYear,4,21),1),"aaa")</f>
        <v>Thu</v>
      </c>
      <c r="X5" s="13" t="str">
        <f>TEXT(WEEKDAY(DATE(CalendarYear,4,22),1),"aaa")</f>
        <v>Fri</v>
      </c>
      <c r="Y5" s="13" t="str">
        <f>TEXT(WEEKDAY(DATE(CalendarYear,4,23),1),"aaa")</f>
        <v>Sat</v>
      </c>
      <c r="Z5" s="13" t="str">
        <f>TEXT(WEEKDAY(DATE(CalendarYear,4,24),1),"aaa")</f>
        <v>Sun</v>
      </c>
      <c r="AA5" s="13" t="str">
        <f>TEXT(WEEKDAY(DATE(CalendarYear,4,25),1),"aaa")</f>
        <v>Mon</v>
      </c>
      <c r="AB5" s="13" t="str">
        <f>TEXT(WEEKDAY(DATE(CalendarYear,4,26),1),"aaa")</f>
        <v>Tue</v>
      </c>
      <c r="AC5" s="13" t="str">
        <f>TEXT(WEEKDAY(DATE(CalendarYear,4,27),1),"aaa")</f>
        <v>Wed</v>
      </c>
      <c r="AD5" s="13" t="str">
        <f>TEXT(WEEKDAY(DATE(CalendarYear,4,28),1),"aaa")</f>
        <v>Thu</v>
      </c>
      <c r="AE5" s="13" t="str">
        <f>TEXT(WEEKDAY(DATE(CalendarYear,4,29),1),"aaa")</f>
        <v>Fri</v>
      </c>
      <c r="AF5" s="13" t="str">
        <f>TEXT(WEEKDAY(DATE(CalendarYear,4,30),1),"aaa")</f>
        <v>Sat</v>
      </c>
      <c r="AG5" s="13"/>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COUNTA(April[[#This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COUNTA(April[[#This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COUNTA(April[[#This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COUNTA(April[[#This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COUNTA(April[[#This Row],[1]:[31]])</f>
        <v>0</v>
      </c>
    </row>
    <row r="12" spans="2:34" ht="30" customHeight="1" x14ac:dyDescent="0.2">
      <c r="B12" s="19" t="str">
        <f>MonthName&amp;" Total"</f>
        <v>April Total</v>
      </c>
      <c r="C12" s="20">
        <f>SUBTOTAL(103,April[1])</f>
        <v>0</v>
      </c>
      <c r="D12" s="20">
        <f>SUBTOTAL(103,April[2])</f>
        <v>0</v>
      </c>
      <c r="E12" s="20">
        <f>SUBTOTAL(103,April[3])</f>
        <v>0</v>
      </c>
      <c r="F12" s="20">
        <f>SUBTOTAL(103,April[4])</f>
        <v>0</v>
      </c>
      <c r="G12" s="20">
        <f>SUBTOTAL(103,April[5])</f>
        <v>0</v>
      </c>
      <c r="H12" s="20">
        <f>SUBTOTAL(103,April[6])</f>
        <v>0</v>
      </c>
      <c r="I12" s="20">
        <f>SUBTOTAL(103,April[7])</f>
        <v>0</v>
      </c>
      <c r="J12" s="20">
        <f>SUBTOTAL(103,April[8])</f>
        <v>0</v>
      </c>
      <c r="K12" s="20">
        <f>SUBTOTAL(103,April[9])</f>
        <v>0</v>
      </c>
      <c r="L12" s="20">
        <f>SUBTOTAL(103,April[10])</f>
        <v>0</v>
      </c>
      <c r="M12" s="20">
        <f>SUBTOTAL(103,April[11])</f>
        <v>0</v>
      </c>
      <c r="N12" s="20">
        <f>SUBTOTAL(103,April[12])</f>
        <v>0</v>
      </c>
      <c r="O12" s="20">
        <f>SUBTOTAL(103,April[13])</f>
        <v>0</v>
      </c>
      <c r="P12" s="20">
        <f>SUBTOTAL(103,April[14])</f>
        <v>0</v>
      </c>
      <c r="Q12" s="20">
        <f>SUBTOTAL(103,April[15])</f>
        <v>0</v>
      </c>
      <c r="R12" s="20">
        <f>SUBTOTAL(103,April[16])</f>
        <v>0</v>
      </c>
      <c r="S12" s="20">
        <f>SUBTOTAL(103,April[17])</f>
        <v>0</v>
      </c>
      <c r="T12" s="20">
        <f>SUBTOTAL(103,April[18])</f>
        <v>0</v>
      </c>
      <c r="U12" s="20">
        <f>SUBTOTAL(103,April[19])</f>
        <v>0</v>
      </c>
      <c r="V12" s="20">
        <f>SUBTOTAL(103,April[20])</f>
        <v>0</v>
      </c>
      <c r="W12" s="20">
        <f>SUBTOTAL(103,April[21])</f>
        <v>0</v>
      </c>
      <c r="X12" s="20">
        <f>SUBTOTAL(103,April[22])</f>
        <v>0</v>
      </c>
      <c r="Y12" s="20">
        <f>SUBTOTAL(103,April[23])</f>
        <v>0</v>
      </c>
      <c r="Z12" s="20">
        <f>SUBTOTAL(103,April[24])</f>
        <v>0</v>
      </c>
      <c r="AA12" s="20">
        <f>SUBTOTAL(103,April[25])</f>
        <v>0</v>
      </c>
      <c r="AB12" s="20">
        <f>SUBTOTAL(103,April[26])</f>
        <v>0</v>
      </c>
      <c r="AC12" s="20">
        <f>SUBTOTAL(103,April[27])</f>
        <v>0</v>
      </c>
      <c r="AD12" s="20">
        <f>SUBTOTAL(103,April[28])</f>
        <v>0</v>
      </c>
      <c r="AE12" s="20">
        <f>SUBTOTAL(103,April[29])</f>
        <v>0</v>
      </c>
      <c r="AF12" s="20">
        <f>SUBTOTAL(109,April[30])</f>
        <v>0</v>
      </c>
      <c r="AG12" s="20">
        <f>SUBTOTAL(109,April[31])</f>
        <v>0</v>
      </c>
      <c r="AH12" s="20">
        <f>SUBTOTAL(109,April[Total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668" priority="2" stopIfTrue="1">
      <formula>C7=KeyCustom2</formula>
    </cfRule>
    <cfRule type="expression" dxfId="667" priority="3" stopIfTrue="1">
      <formula>C7=KeyCustom1</formula>
    </cfRule>
    <cfRule type="expression" dxfId="666" priority="4" stopIfTrue="1">
      <formula>C7=KeySick</formula>
    </cfRule>
    <cfRule type="expression" dxfId="665" priority="5" stopIfTrue="1">
      <formula>C7=KeyPersonal</formula>
    </cfRule>
    <cfRule type="expression" dxfId="664"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Automatically updated year based on year entered in January worksheet" sqref="AH4" xr:uid="{00000000-0002-0000-0300-000000000000}"/>
    <dataValidation allowBlank="1" showInputMessage="1" showErrorMessage="1" prompt="Automatically calculates total number of days an employee was absent this month in this column" sqref="AH6" xr:uid="{00000000-0002-0000-0300-000001000000}"/>
    <dataValidation allowBlank="1" showInputMessage="1" showErrorMessage="1" prompt="Track April absence in this worksheet" sqref="A1" xr:uid="{00000000-0002-0000-0300-000002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300-000003000000}"/>
    <dataValidation allowBlank="1" showInputMessage="1" showErrorMessage="1" prompt="Automatically updated title is in this cell. To modify the title, update B1 on January worksheet" sqref="B1" xr:uid="{00000000-0002-0000-0300-000004000000}"/>
    <dataValidation allowBlank="1" showInputMessage="1" showErrorMessage="1" prompt="The letter &quot;H&quot; indicates absence due to holiday" sqref="C2" xr:uid="{00000000-0002-0000-0300-000005000000}"/>
    <dataValidation allowBlank="1" showInputMessage="1" showErrorMessage="1" prompt="The letter &quot;P&quot; indicates absence due to personal reasons" sqref="G2" xr:uid="{00000000-0002-0000-0300-000006000000}"/>
    <dataValidation allowBlank="1" showInputMessage="1" showErrorMessage="1" prompt="The letter &quot;S&quot; indicates absence due to illness" sqref="K2" xr:uid="{00000000-0002-0000-0300-000007000000}"/>
    <dataValidation allowBlank="1" showInputMessage="1" showErrorMessage="1" prompt="Enter a letter and customise the label to the right to add another key item" sqref="N2 R2" xr:uid="{00000000-0002-0000-0300-000008000000}"/>
    <dataValidation allowBlank="1" showInputMessage="1" showErrorMessage="1" prompt="Enter a label to describe the custom key to the left" sqref="O2:Q2 S2:U2" xr:uid="{00000000-0002-0000-0300-000009000000}"/>
    <dataValidation allowBlank="1" showInputMessage="1" showErrorMessage="1" prompt="This row defines the keys used in the table: cell C2 is Holiday, G2 is Personal &amp; K2 is Sick leave. Cells N2 &amp; R2 are customisable " sqref="B2" xr:uid="{00000000-0002-0000-0300-00000A000000}"/>
    <dataValidation allowBlank="1" showInputMessage="1" showErrorMessage="1" prompt="Month name for this absence schedule is in this cell. Absence totals for this month are in last cell of the table. Select employee names in table column B" sqref="B4" xr:uid="{00000000-0002-0000-0300-00000B000000}"/>
    <dataValidation allowBlank="1" showInputMessage="1" showErrorMessage="1" prompt="Days of the month in this row are automatically generated. Enter an employee's absence and absence type in each column for each day of the month. Blank means no absence" sqref="C6" xr:uid="{00000000-0002-0000-03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3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'Employee Names'!$B$4:$B$8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56</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TEXT(WEEKDAY(DATE(CalendarYear,5,1),1),"aaa")</f>
        <v>Sun</v>
      </c>
      <c r="D5" s="13" t="str">
        <f>TEXT(WEEKDAY(DATE(CalendarYear,5,2),1),"aaa")</f>
        <v>Mon</v>
      </c>
      <c r="E5" s="13" t="str">
        <f>TEXT(WEEKDAY(DATE(CalendarYear,5,3),1),"aaa")</f>
        <v>Tue</v>
      </c>
      <c r="F5" s="13" t="str">
        <f>TEXT(WEEKDAY(DATE(CalendarYear,5,4),1),"aaa")</f>
        <v>Wed</v>
      </c>
      <c r="G5" s="13" t="str">
        <f>TEXT(WEEKDAY(DATE(CalendarYear,5,5),1),"aaa")</f>
        <v>Thu</v>
      </c>
      <c r="H5" s="13" t="str">
        <f>TEXT(WEEKDAY(DATE(CalendarYear,5,6),1),"aaa")</f>
        <v>Fri</v>
      </c>
      <c r="I5" s="13" t="str">
        <f>TEXT(WEEKDAY(DATE(CalendarYear,5,7),1),"aaa")</f>
        <v>Sat</v>
      </c>
      <c r="J5" s="13" t="str">
        <f>TEXT(WEEKDAY(DATE(CalendarYear,5,8),1),"aaa")</f>
        <v>Sun</v>
      </c>
      <c r="K5" s="13" t="str">
        <f>TEXT(WEEKDAY(DATE(CalendarYear,5,9),1),"aaa")</f>
        <v>Mon</v>
      </c>
      <c r="L5" s="13" t="str">
        <f>TEXT(WEEKDAY(DATE(CalendarYear,5,10),1),"aaa")</f>
        <v>Tue</v>
      </c>
      <c r="M5" s="13" t="str">
        <f>TEXT(WEEKDAY(DATE(CalendarYear,5,11),1),"aaa")</f>
        <v>Wed</v>
      </c>
      <c r="N5" s="13" t="str">
        <f>TEXT(WEEKDAY(DATE(CalendarYear,5,12),1),"aaa")</f>
        <v>Thu</v>
      </c>
      <c r="O5" s="13" t="str">
        <f>TEXT(WEEKDAY(DATE(CalendarYear,5,13),1),"aaa")</f>
        <v>Fri</v>
      </c>
      <c r="P5" s="13" t="str">
        <f>TEXT(WEEKDAY(DATE(CalendarYear,5,14),1),"aaa")</f>
        <v>Sat</v>
      </c>
      <c r="Q5" s="13" t="str">
        <f>TEXT(WEEKDAY(DATE(CalendarYear,5,15),1),"aaa")</f>
        <v>Sun</v>
      </c>
      <c r="R5" s="13" t="str">
        <f>TEXT(WEEKDAY(DATE(CalendarYear,5,16),1),"aaa")</f>
        <v>Mon</v>
      </c>
      <c r="S5" s="13" t="str">
        <f>TEXT(WEEKDAY(DATE(CalendarYear,5,17),1),"aaa")</f>
        <v>Tue</v>
      </c>
      <c r="T5" s="13" t="str">
        <f>TEXT(WEEKDAY(DATE(CalendarYear,5,18),1),"aaa")</f>
        <v>Wed</v>
      </c>
      <c r="U5" s="13" t="str">
        <f>TEXT(WEEKDAY(DATE(CalendarYear,5,19),1),"aaa")</f>
        <v>Thu</v>
      </c>
      <c r="V5" s="13" t="str">
        <f>TEXT(WEEKDAY(DATE(CalendarYear,5,20),1),"aaa")</f>
        <v>Fri</v>
      </c>
      <c r="W5" s="13" t="str">
        <f>TEXT(WEEKDAY(DATE(CalendarYear,5,21),1),"aaa")</f>
        <v>Sat</v>
      </c>
      <c r="X5" s="13" t="str">
        <f>TEXT(WEEKDAY(DATE(CalendarYear,5,22),1),"aaa")</f>
        <v>Sun</v>
      </c>
      <c r="Y5" s="13" t="str">
        <f>TEXT(WEEKDAY(DATE(CalendarYear,5,23),1),"aaa")</f>
        <v>Mon</v>
      </c>
      <c r="Z5" s="13" t="str">
        <f>TEXT(WEEKDAY(DATE(CalendarYear,5,24),1),"aaa")</f>
        <v>Tue</v>
      </c>
      <c r="AA5" s="13" t="str">
        <f>TEXT(WEEKDAY(DATE(CalendarYear,5,25),1),"aaa")</f>
        <v>Wed</v>
      </c>
      <c r="AB5" s="13" t="str">
        <f>TEXT(WEEKDAY(DATE(CalendarYear,5,26),1),"aaa")</f>
        <v>Thu</v>
      </c>
      <c r="AC5" s="13" t="str">
        <f>TEXT(WEEKDAY(DATE(CalendarYear,5,27),1),"aaa")</f>
        <v>Fri</v>
      </c>
      <c r="AD5" s="13" t="str">
        <f>TEXT(WEEKDAY(DATE(CalendarYear,5,28),1),"aaa")</f>
        <v>Sat</v>
      </c>
      <c r="AE5" s="13" t="str">
        <f>TEXT(WEEKDAY(DATE(CalendarYear,5,29),1),"aaa")</f>
        <v>Sun</v>
      </c>
      <c r="AF5" s="13" t="str">
        <f>TEXT(WEEKDAY(DATE(CalendarYear,5,30),1),"aaa")</f>
        <v>Mon</v>
      </c>
      <c r="AG5" s="13" t="str">
        <f>TEXT(WEEKDAY(DATE(CalendarYear,5,31),1),"aaa")</f>
        <v>Tue</v>
      </c>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COUNTA(May[[#This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COUNTA(May[[#This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COUNTA(May[[#This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COUNTA(May[[#This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COUNTA(May[[#This Row],[1]:[31]])</f>
        <v>0</v>
      </c>
    </row>
    <row r="12" spans="2:34" ht="30" customHeight="1" x14ac:dyDescent="0.2">
      <c r="B12" s="19" t="str">
        <f>MonthName&amp;" Total"</f>
        <v>May Total</v>
      </c>
      <c r="C12" s="20">
        <f>SUBTOTAL(103,May[1])</f>
        <v>0</v>
      </c>
      <c r="D12" s="20">
        <f>SUBTOTAL(103,May[2])</f>
        <v>0</v>
      </c>
      <c r="E12" s="20">
        <f>SUBTOTAL(103,May[3])</f>
        <v>0</v>
      </c>
      <c r="F12" s="20">
        <f>SUBTOTAL(103,May[4])</f>
        <v>0</v>
      </c>
      <c r="G12" s="20">
        <f>SUBTOTAL(103,May[5])</f>
        <v>0</v>
      </c>
      <c r="H12" s="20">
        <f>SUBTOTAL(103,May[6])</f>
        <v>0</v>
      </c>
      <c r="I12" s="20">
        <f>SUBTOTAL(103,May[7])</f>
        <v>0</v>
      </c>
      <c r="J12" s="20">
        <f>SUBTOTAL(103,May[8])</f>
        <v>0</v>
      </c>
      <c r="K12" s="20">
        <f>SUBTOTAL(103,May[9])</f>
        <v>0</v>
      </c>
      <c r="L12" s="20">
        <f>SUBTOTAL(103,May[10])</f>
        <v>0</v>
      </c>
      <c r="M12" s="20">
        <f>SUBTOTAL(103,May[11])</f>
        <v>0</v>
      </c>
      <c r="N12" s="20">
        <f>SUBTOTAL(103,May[12])</f>
        <v>0</v>
      </c>
      <c r="O12" s="20">
        <f>SUBTOTAL(103,May[13])</f>
        <v>0</v>
      </c>
      <c r="P12" s="20">
        <f>SUBTOTAL(103,May[14])</f>
        <v>0</v>
      </c>
      <c r="Q12" s="20">
        <f>SUBTOTAL(103,May[15])</f>
        <v>0</v>
      </c>
      <c r="R12" s="20">
        <f>SUBTOTAL(103,May[16])</f>
        <v>0</v>
      </c>
      <c r="S12" s="20">
        <f>SUBTOTAL(103,May[17])</f>
        <v>0</v>
      </c>
      <c r="T12" s="20">
        <f>SUBTOTAL(103,May[18])</f>
        <v>0</v>
      </c>
      <c r="U12" s="20">
        <f>SUBTOTAL(103,May[19])</f>
        <v>0</v>
      </c>
      <c r="V12" s="20">
        <f>SUBTOTAL(103,May[20])</f>
        <v>0</v>
      </c>
      <c r="W12" s="20">
        <f>SUBTOTAL(103,May[21])</f>
        <v>0</v>
      </c>
      <c r="X12" s="20">
        <f>SUBTOTAL(103,May[22])</f>
        <v>0</v>
      </c>
      <c r="Y12" s="20">
        <f>SUBTOTAL(103,May[23])</f>
        <v>0</v>
      </c>
      <c r="Z12" s="20">
        <f>SUBTOTAL(103,May[24])</f>
        <v>0</v>
      </c>
      <c r="AA12" s="20">
        <f>SUBTOTAL(103,May[25])</f>
        <v>0</v>
      </c>
      <c r="AB12" s="20">
        <f>SUBTOTAL(103,May[26])</f>
        <v>0</v>
      </c>
      <c r="AC12" s="20">
        <f>SUBTOTAL(103,May[27])</f>
        <v>0</v>
      </c>
      <c r="AD12" s="20">
        <f>SUBTOTAL(103,May[28])</f>
        <v>0</v>
      </c>
      <c r="AE12" s="20">
        <f>SUBTOTAL(103,May[29])</f>
        <v>0</v>
      </c>
      <c r="AF12" s="20">
        <f>SUBTOTAL(109,May[30])</f>
        <v>0</v>
      </c>
      <c r="AG12" s="20">
        <f>SUBTOTAL(109,May[31])</f>
        <v>0</v>
      </c>
      <c r="AH12" s="20">
        <f>SUBTOTAL(109,May[Total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94" priority="2" stopIfTrue="1">
      <formula>C7=KeyCustom2</formula>
    </cfRule>
    <cfRule type="expression" dxfId="593" priority="3" stopIfTrue="1">
      <formula>C7=KeyCustom1</formula>
    </cfRule>
    <cfRule type="expression" dxfId="592" priority="4" stopIfTrue="1">
      <formula>C7=KeySick</formula>
    </cfRule>
    <cfRule type="expression" dxfId="591" priority="5" stopIfTrue="1">
      <formula>C7=KeyPersonal</formula>
    </cfRule>
    <cfRule type="expression" dxfId="590"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400-000000000000}"/>
    <dataValidation allowBlank="1" showInputMessage="1" showErrorMessage="1" prompt="Month name for this absence schedule is in this cell. Absence totals for this month are in last cell of the table. Select employee names in table column B" sqref="B4" xr:uid="{00000000-0002-0000-0400-000001000000}"/>
    <dataValidation allowBlank="1" showInputMessage="1" showErrorMessage="1" prompt="This row defines the keys used in the table: cell C2 is Holiday, G2 is Personal &amp; K2 is Sick leave. Cells N2 &amp; R2 are customisable " sqref="B2" xr:uid="{00000000-0002-0000-0400-000002000000}"/>
    <dataValidation allowBlank="1" showInputMessage="1" showErrorMessage="1" prompt="Enter a label to describe the custom key to the left" sqref="O2:Q2 S2:U2" xr:uid="{00000000-0002-0000-0400-000003000000}"/>
    <dataValidation allowBlank="1" showInputMessage="1" showErrorMessage="1" prompt="Enter a letter and customise the label to the right to add another key item" sqref="N2 R2" xr:uid="{00000000-0002-0000-0400-000004000000}"/>
    <dataValidation allowBlank="1" showInputMessage="1" showErrorMessage="1" prompt="The letter &quot;S&quot; indicates absence due to illness" sqref="K2" xr:uid="{00000000-0002-0000-0400-000005000000}"/>
    <dataValidation allowBlank="1" showInputMessage="1" showErrorMessage="1" prompt="The letter &quot;P&quot; indicates absence due to personal reasons" sqref="G2" xr:uid="{00000000-0002-0000-0400-000006000000}"/>
    <dataValidation allowBlank="1" showInputMessage="1" showErrorMessage="1" prompt="The letter &quot;H&quot; indicates absence due to holiday" sqref="C2" xr:uid="{00000000-0002-0000-0400-000007000000}"/>
    <dataValidation allowBlank="1" showInputMessage="1" showErrorMessage="1" prompt="Automatically updated title is in this cell. To modify the title, update B1 on January worksheet" sqref="B1" xr:uid="{00000000-0002-0000-04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400-000009000000}"/>
    <dataValidation allowBlank="1" showInputMessage="1" showErrorMessage="1" prompt="Track May absence in this worksheet" sqref="A1" xr:uid="{00000000-0002-0000-0400-00000A000000}"/>
    <dataValidation allowBlank="1" showInputMessage="1" showErrorMessage="1" prompt="Automatically calculates total number of days an employee was absent this month in this column" sqref="AH6" xr:uid="{00000000-0002-0000-0400-00000B000000}"/>
    <dataValidation allowBlank="1" showInputMessage="1" showErrorMessage="1" prompt="Automatically updated year based on year entered in January worksheet" sqref="AH4" xr:uid="{00000000-0002-0000-04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4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'Employee Names'!$B$4:$B$8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57</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TEXT(WEEKDAY(DATE(CalendarYear,6,1),1),"aaa")</f>
        <v>Wed</v>
      </c>
      <c r="D5" s="13" t="str">
        <f>TEXT(WEEKDAY(DATE(CalendarYear,6,2),1),"aaa")</f>
        <v>Thu</v>
      </c>
      <c r="E5" s="13" t="str">
        <f>TEXT(WEEKDAY(DATE(CalendarYear,6,3),1),"aaa")</f>
        <v>Fri</v>
      </c>
      <c r="F5" s="13" t="str">
        <f>TEXT(WEEKDAY(DATE(CalendarYear,6,4),1),"aaa")</f>
        <v>Sat</v>
      </c>
      <c r="G5" s="13" t="str">
        <f>TEXT(WEEKDAY(DATE(CalendarYear,6,5),1),"aaa")</f>
        <v>Sun</v>
      </c>
      <c r="H5" s="13" t="str">
        <f>TEXT(WEEKDAY(DATE(CalendarYear,6,6),1),"aaa")</f>
        <v>Mon</v>
      </c>
      <c r="I5" s="13" t="str">
        <f>TEXT(WEEKDAY(DATE(CalendarYear,6,7),1),"aaa")</f>
        <v>Tue</v>
      </c>
      <c r="J5" s="13" t="str">
        <f>TEXT(WEEKDAY(DATE(CalendarYear,6,8),1),"aaa")</f>
        <v>Wed</v>
      </c>
      <c r="K5" s="13" t="str">
        <f>TEXT(WEEKDAY(DATE(CalendarYear,6,9),1),"aaa")</f>
        <v>Thu</v>
      </c>
      <c r="L5" s="13" t="str">
        <f>TEXT(WEEKDAY(DATE(CalendarYear,6,10),1),"aaa")</f>
        <v>Fri</v>
      </c>
      <c r="M5" s="13" t="str">
        <f>TEXT(WEEKDAY(DATE(CalendarYear,6,11),1),"aaa")</f>
        <v>Sat</v>
      </c>
      <c r="N5" s="13" t="str">
        <f>TEXT(WEEKDAY(DATE(CalendarYear,6,12),1),"aaa")</f>
        <v>Sun</v>
      </c>
      <c r="O5" s="13" t="str">
        <f>TEXT(WEEKDAY(DATE(CalendarYear,6,13),1),"aaa")</f>
        <v>Mon</v>
      </c>
      <c r="P5" s="13" t="str">
        <f>TEXT(WEEKDAY(DATE(CalendarYear,6,14),1),"aaa")</f>
        <v>Tue</v>
      </c>
      <c r="Q5" s="13" t="str">
        <f>TEXT(WEEKDAY(DATE(CalendarYear,6,15),1),"aaa")</f>
        <v>Wed</v>
      </c>
      <c r="R5" s="13" t="str">
        <f>TEXT(WEEKDAY(DATE(CalendarYear,6,16),1),"aaa")</f>
        <v>Thu</v>
      </c>
      <c r="S5" s="13" t="str">
        <f>TEXT(WEEKDAY(DATE(CalendarYear,6,17),1),"aaa")</f>
        <v>Fri</v>
      </c>
      <c r="T5" s="13" t="str">
        <f>TEXT(WEEKDAY(DATE(CalendarYear,6,18),1),"aaa")</f>
        <v>Sat</v>
      </c>
      <c r="U5" s="13" t="str">
        <f>TEXT(WEEKDAY(DATE(CalendarYear,6,19),1),"aaa")</f>
        <v>Sun</v>
      </c>
      <c r="V5" s="13" t="str">
        <f>TEXT(WEEKDAY(DATE(CalendarYear,6,20),1),"aaa")</f>
        <v>Mon</v>
      </c>
      <c r="W5" s="13" t="str">
        <f>TEXT(WEEKDAY(DATE(CalendarYear,6,21),1),"aaa")</f>
        <v>Tue</v>
      </c>
      <c r="X5" s="13" t="str">
        <f>TEXT(WEEKDAY(DATE(CalendarYear,6,22),1),"aaa")</f>
        <v>Wed</v>
      </c>
      <c r="Y5" s="13" t="str">
        <f>TEXT(WEEKDAY(DATE(CalendarYear,6,23),1),"aaa")</f>
        <v>Thu</v>
      </c>
      <c r="Z5" s="13" t="str">
        <f>TEXT(WEEKDAY(DATE(CalendarYear,6,24),1),"aaa")</f>
        <v>Fri</v>
      </c>
      <c r="AA5" s="13" t="str">
        <f>TEXT(WEEKDAY(DATE(CalendarYear,6,25),1),"aaa")</f>
        <v>Sat</v>
      </c>
      <c r="AB5" s="13" t="str">
        <f>TEXT(WEEKDAY(DATE(CalendarYear,6,26),1),"aaa")</f>
        <v>Sun</v>
      </c>
      <c r="AC5" s="13" t="str">
        <f>TEXT(WEEKDAY(DATE(CalendarYear,6,27),1),"aaa")</f>
        <v>Mon</v>
      </c>
      <c r="AD5" s="13" t="str">
        <f>TEXT(WEEKDAY(DATE(CalendarYear,6,28),1),"aaa")</f>
        <v>Tue</v>
      </c>
      <c r="AE5" s="13" t="str">
        <f>TEXT(WEEKDAY(DATE(CalendarYear,6,29),1),"aaa")</f>
        <v>Wed</v>
      </c>
      <c r="AF5" s="13" t="str">
        <f>TEXT(WEEKDAY(DATE(CalendarYear,6,30),1),"aaa")</f>
        <v>Thu</v>
      </c>
      <c r="AG5" s="13"/>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COUNTA(June[[#This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COUNTA(June[[#This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COUNTA(June[[#This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COUNTA(June[[#This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COUNTA(June[[#This Row],[1]:[31]])</f>
        <v>0</v>
      </c>
    </row>
    <row r="12" spans="2:34" ht="30" customHeight="1" x14ac:dyDescent="0.2">
      <c r="B12" s="19" t="str">
        <f>MonthName&amp;" Total"</f>
        <v>June Total</v>
      </c>
      <c r="C12" s="20">
        <f>SUBTOTAL(103,June[1])</f>
        <v>0</v>
      </c>
      <c r="D12" s="20">
        <f>SUBTOTAL(103,June[2])</f>
        <v>0</v>
      </c>
      <c r="E12" s="20">
        <f>SUBTOTAL(103,June[3])</f>
        <v>0</v>
      </c>
      <c r="F12" s="20">
        <f>SUBTOTAL(103,June[4])</f>
        <v>0</v>
      </c>
      <c r="G12" s="20">
        <f>SUBTOTAL(103,June[5])</f>
        <v>0</v>
      </c>
      <c r="H12" s="20">
        <f>SUBTOTAL(103,June[6])</f>
        <v>0</v>
      </c>
      <c r="I12" s="20">
        <f>SUBTOTAL(103,June[7])</f>
        <v>0</v>
      </c>
      <c r="J12" s="20">
        <f>SUBTOTAL(103,June[8])</f>
        <v>0</v>
      </c>
      <c r="K12" s="20">
        <f>SUBTOTAL(103,June[9])</f>
        <v>0</v>
      </c>
      <c r="L12" s="20">
        <f>SUBTOTAL(103,June[10])</f>
        <v>0</v>
      </c>
      <c r="M12" s="20">
        <f>SUBTOTAL(103,June[11])</f>
        <v>0</v>
      </c>
      <c r="N12" s="20">
        <f>SUBTOTAL(103,June[12])</f>
        <v>0</v>
      </c>
      <c r="O12" s="20">
        <f>SUBTOTAL(103,June[13])</f>
        <v>0</v>
      </c>
      <c r="P12" s="20">
        <f>SUBTOTAL(103,June[14])</f>
        <v>0</v>
      </c>
      <c r="Q12" s="20">
        <f>SUBTOTAL(103,June[15])</f>
        <v>0</v>
      </c>
      <c r="R12" s="20">
        <f>SUBTOTAL(103,June[16])</f>
        <v>0</v>
      </c>
      <c r="S12" s="20">
        <f>SUBTOTAL(103,June[17])</f>
        <v>0</v>
      </c>
      <c r="T12" s="20">
        <f>SUBTOTAL(103,June[18])</f>
        <v>0</v>
      </c>
      <c r="U12" s="20">
        <f>SUBTOTAL(103,June[19])</f>
        <v>0</v>
      </c>
      <c r="V12" s="20">
        <f>SUBTOTAL(103,June[20])</f>
        <v>0</v>
      </c>
      <c r="W12" s="20">
        <f>SUBTOTAL(103,June[21])</f>
        <v>0</v>
      </c>
      <c r="X12" s="20">
        <f>SUBTOTAL(103,June[22])</f>
        <v>0</v>
      </c>
      <c r="Y12" s="20">
        <f>SUBTOTAL(103,June[23])</f>
        <v>0</v>
      </c>
      <c r="Z12" s="20">
        <f>SUBTOTAL(103,June[24])</f>
        <v>0</v>
      </c>
      <c r="AA12" s="20">
        <f>SUBTOTAL(103,June[25])</f>
        <v>0</v>
      </c>
      <c r="AB12" s="20">
        <f>SUBTOTAL(103,June[26])</f>
        <v>0</v>
      </c>
      <c r="AC12" s="20">
        <f>SUBTOTAL(103,June[27])</f>
        <v>0</v>
      </c>
      <c r="AD12" s="20">
        <f>SUBTOTAL(103,June[28])</f>
        <v>0</v>
      </c>
      <c r="AE12" s="20">
        <f>SUBTOTAL(103,June[29])</f>
        <v>0</v>
      </c>
      <c r="AF12" s="20">
        <f>SUBTOTAL(109,June[30])</f>
        <v>0</v>
      </c>
      <c r="AG12" s="20">
        <f>SUBTOTAL(109,June[31])</f>
        <v>0</v>
      </c>
      <c r="AH12" s="20">
        <f>SUBTOTAL(109,June[Total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20" priority="2" stopIfTrue="1">
      <formula>C7=KeyCustom2</formula>
    </cfRule>
    <cfRule type="expression" dxfId="519" priority="3" stopIfTrue="1">
      <formula>C7=KeyCustom1</formula>
    </cfRule>
    <cfRule type="expression" dxfId="518" priority="4" stopIfTrue="1">
      <formula>C7=KeySick</formula>
    </cfRule>
    <cfRule type="expression" dxfId="517" priority="5" stopIfTrue="1">
      <formula>C7=KeyPersonal</formula>
    </cfRule>
    <cfRule type="expression" dxfId="516"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500-000000000000}"/>
    <dataValidation allowBlank="1" showInputMessage="1" showErrorMessage="1" prompt="Automatically updated year based on year entered in January worksheet" sqref="AH4" xr:uid="{00000000-0002-0000-0500-000001000000}"/>
    <dataValidation allowBlank="1" showInputMessage="1" showErrorMessage="1" prompt="Automatically calculates total number of days an employee was absent this month in this column" sqref="AH6" xr:uid="{00000000-0002-0000-0500-000002000000}"/>
    <dataValidation allowBlank="1" showInputMessage="1" showErrorMessage="1" prompt="Track June absence in this worksheet" sqref="A1" xr:uid="{00000000-0002-0000-05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500-000004000000}"/>
    <dataValidation allowBlank="1" showInputMessage="1" showErrorMessage="1" prompt="Automatically updated title is in this cell. To modify the title, update B1 on January worksheet" sqref="B1" xr:uid="{00000000-0002-0000-0500-000005000000}"/>
    <dataValidation allowBlank="1" showInputMessage="1" showErrorMessage="1" prompt="The letter &quot;H&quot; indicates absence due to holiday" sqref="C2" xr:uid="{00000000-0002-0000-0500-000006000000}"/>
    <dataValidation allowBlank="1" showInputMessage="1" showErrorMessage="1" prompt="The letter &quot;P&quot; indicates absence due to personal reasons" sqref="G2" xr:uid="{00000000-0002-0000-0500-000007000000}"/>
    <dataValidation allowBlank="1" showInputMessage="1" showErrorMessage="1" prompt="The letter &quot;S&quot; indicates absence due to illness" sqref="K2" xr:uid="{00000000-0002-0000-0500-000008000000}"/>
    <dataValidation allowBlank="1" showInputMessage="1" showErrorMessage="1" prompt="Enter a letter and customise the label to the right to add another key item" sqref="N2 R2" xr:uid="{00000000-0002-0000-0500-000009000000}"/>
    <dataValidation allowBlank="1" showInputMessage="1" showErrorMessage="1" prompt="Enter a label to describe the custom key to the left" sqref="O2:Q2 S2:U2" xr:uid="{00000000-0002-0000-0500-00000A000000}"/>
    <dataValidation allowBlank="1" showInputMessage="1" showErrorMessage="1" prompt="This row defines the keys used in the table: cell C2 is Holiday, G2 is Personal &amp; K2 is Sick leave. Cells N2 &amp; R2 are customisable " sqref="B2" xr:uid="{00000000-0002-0000-0500-00000B000000}"/>
    <dataValidation allowBlank="1" showInputMessage="1" showErrorMessage="1" prompt="Month name for this absence schedule is in this cell. Absence totals for this month are in last cell of the table. Select employee names in table column B" sqref="B4" xr:uid="{00000000-0002-0000-05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5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'Employee Names'!$B$4:$B$8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58</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TEXT(WEEKDAY(DATE(CalendarYear,7,1),1),"aaa")</f>
        <v>Fri</v>
      </c>
      <c r="D5" s="13" t="str">
        <f>TEXT(WEEKDAY(DATE(CalendarYear,7,2),1),"aaa")</f>
        <v>Sat</v>
      </c>
      <c r="E5" s="13" t="str">
        <f>TEXT(WEEKDAY(DATE(CalendarYear,7,3),1),"aaa")</f>
        <v>Sun</v>
      </c>
      <c r="F5" s="13" t="str">
        <f>TEXT(WEEKDAY(DATE(CalendarYear,7,4),1),"aaa")</f>
        <v>Mon</v>
      </c>
      <c r="G5" s="13" t="str">
        <f>TEXT(WEEKDAY(DATE(CalendarYear,7,5),1),"aaa")</f>
        <v>Tue</v>
      </c>
      <c r="H5" s="13" t="str">
        <f>TEXT(WEEKDAY(DATE(CalendarYear,7,6),1),"aaa")</f>
        <v>Wed</v>
      </c>
      <c r="I5" s="13" t="str">
        <f>TEXT(WEEKDAY(DATE(CalendarYear,7,7),1),"aaa")</f>
        <v>Thu</v>
      </c>
      <c r="J5" s="13" t="str">
        <f>TEXT(WEEKDAY(DATE(CalendarYear,7,8),1),"aaa")</f>
        <v>Fri</v>
      </c>
      <c r="K5" s="13" t="str">
        <f>TEXT(WEEKDAY(DATE(CalendarYear,7,9),1),"aaa")</f>
        <v>Sat</v>
      </c>
      <c r="L5" s="13" t="str">
        <f>TEXT(WEEKDAY(DATE(CalendarYear,7,10),1),"aaa")</f>
        <v>Sun</v>
      </c>
      <c r="M5" s="13" t="str">
        <f>TEXT(WEEKDAY(DATE(CalendarYear,7,11),1),"aaa")</f>
        <v>Mon</v>
      </c>
      <c r="N5" s="13" t="str">
        <f>TEXT(WEEKDAY(DATE(CalendarYear,7,12),1),"aaa")</f>
        <v>Tue</v>
      </c>
      <c r="O5" s="13" t="str">
        <f>TEXT(WEEKDAY(DATE(CalendarYear,7,13),1),"aaa")</f>
        <v>Wed</v>
      </c>
      <c r="P5" s="13" t="str">
        <f>TEXT(WEEKDAY(DATE(CalendarYear,7,14),1),"aaa")</f>
        <v>Thu</v>
      </c>
      <c r="Q5" s="13" t="str">
        <f>TEXT(WEEKDAY(DATE(CalendarYear,7,15),1),"aaa")</f>
        <v>Fri</v>
      </c>
      <c r="R5" s="13" t="str">
        <f>TEXT(WEEKDAY(DATE(CalendarYear,7,16),1),"aaa")</f>
        <v>Sat</v>
      </c>
      <c r="S5" s="13" t="str">
        <f>TEXT(WEEKDAY(DATE(CalendarYear,7,17),1),"aaa")</f>
        <v>Sun</v>
      </c>
      <c r="T5" s="13" t="str">
        <f>TEXT(WEEKDAY(DATE(CalendarYear,7,18),1),"aaa")</f>
        <v>Mon</v>
      </c>
      <c r="U5" s="13" t="str">
        <f>TEXT(WEEKDAY(DATE(CalendarYear,7,19),1),"aaa")</f>
        <v>Tue</v>
      </c>
      <c r="V5" s="13" t="str">
        <f>TEXT(WEEKDAY(DATE(CalendarYear,7,20),1),"aaa")</f>
        <v>Wed</v>
      </c>
      <c r="W5" s="13" t="str">
        <f>TEXT(WEEKDAY(DATE(CalendarYear,7,21),1),"aaa")</f>
        <v>Thu</v>
      </c>
      <c r="X5" s="13" t="str">
        <f>TEXT(WEEKDAY(DATE(CalendarYear,7,22),1),"aaa")</f>
        <v>Fri</v>
      </c>
      <c r="Y5" s="13" t="str">
        <f>TEXT(WEEKDAY(DATE(CalendarYear,7,23),1),"aaa")</f>
        <v>Sat</v>
      </c>
      <c r="Z5" s="13" t="str">
        <f>TEXT(WEEKDAY(DATE(CalendarYear,7,24),1),"aaa")</f>
        <v>Sun</v>
      </c>
      <c r="AA5" s="13" t="str">
        <f>TEXT(WEEKDAY(DATE(CalendarYear,7,25),1),"aaa")</f>
        <v>Mon</v>
      </c>
      <c r="AB5" s="13" t="str">
        <f>TEXT(WEEKDAY(DATE(CalendarYear,7,26),1),"aaa")</f>
        <v>Tue</v>
      </c>
      <c r="AC5" s="13" t="str">
        <f>TEXT(WEEKDAY(DATE(CalendarYear,7,27),1),"aaa")</f>
        <v>Wed</v>
      </c>
      <c r="AD5" s="13" t="str">
        <f>TEXT(WEEKDAY(DATE(CalendarYear,7,28),1),"aaa")</f>
        <v>Thu</v>
      </c>
      <c r="AE5" s="13" t="str">
        <f>TEXT(WEEKDAY(DATE(CalendarYear,7,29),1),"aaa")</f>
        <v>Fri</v>
      </c>
      <c r="AF5" s="13" t="str">
        <f>TEXT(WEEKDAY(DATE(CalendarYear,7,30),1),"aaa")</f>
        <v>Sat</v>
      </c>
      <c r="AG5" s="13" t="str">
        <f>TEXT(WEEKDAY(DATE(CalendarYear,7,31),1),"aaa")</f>
        <v>Sun</v>
      </c>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COUNTA(July[[#This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COUNTA(July[[#This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COUNTA(July[[#This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COUNTA(July[[#This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COUNTA(July[[#This Row],[1]:[31]])</f>
        <v>0</v>
      </c>
    </row>
    <row r="12" spans="2:34" ht="30" customHeight="1" x14ac:dyDescent="0.2">
      <c r="B12" s="19" t="str">
        <f>MonthName&amp;" Total"</f>
        <v>July Total</v>
      </c>
      <c r="C12" s="20">
        <f>SUBTOTAL(103,July[1])</f>
        <v>0</v>
      </c>
      <c r="D12" s="20">
        <f>SUBTOTAL(103,July[2])</f>
        <v>0</v>
      </c>
      <c r="E12" s="20">
        <f>SUBTOTAL(103,July[3])</f>
        <v>0</v>
      </c>
      <c r="F12" s="20">
        <f>SUBTOTAL(103,July[4])</f>
        <v>0</v>
      </c>
      <c r="G12" s="20">
        <f>SUBTOTAL(103,July[5])</f>
        <v>0</v>
      </c>
      <c r="H12" s="20">
        <f>SUBTOTAL(103,July[6])</f>
        <v>0</v>
      </c>
      <c r="I12" s="20">
        <f>SUBTOTAL(103,July[7])</f>
        <v>0</v>
      </c>
      <c r="J12" s="20">
        <f>SUBTOTAL(103,July[8])</f>
        <v>0</v>
      </c>
      <c r="K12" s="20">
        <f>SUBTOTAL(103,July[9])</f>
        <v>0</v>
      </c>
      <c r="L12" s="20">
        <f>SUBTOTAL(103,July[10])</f>
        <v>0</v>
      </c>
      <c r="M12" s="20">
        <f>SUBTOTAL(103,July[11])</f>
        <v>0</v>
      </c>
      <c r="N12" s="20">
        <f>SUBTOTAL(103,July[12])</f>
        <v>0</v>
      </c>
      <c r="O12" s="20">
        <f>SUBTOTAL(103,July[13])</f>
        <v>0</v>
      </c>
      <c r="P12" s="20">
        <f>SUBTOTAL(103,July[14])</f>
        <v>0</v>
      </c>
      <c r="Q12" s="20">
        <f>SUBTOTAL(103,July[15])</f>
        <v>0</v>
      </c>
      <c r="R12" s="20">
        <f>SUBTOTAL(103,July[16])</f>
        <v>0</v>
      </c>
      <c r="S12" s="20">
        <f>SUBTOTAL(103,July[17])</f>
        <v>0</v>
      </c>
      <c r="T12" s="20">
        <f>SUBTOTAL(103,July[18])</f>
        <v>0</v>
      </c>
      <c r="U12" s="20">
        <f>SUBTOTAL(103,July[19])</f>
        <v>0</v>
      </c>
      <c r="V12" s="20">
        <f>SUBTOTAL(103,July[20])</f>
        <v>0</v>
      </c>
      <c r="W12" s="20">
        <f>SUBTOTAL(103,July[21])</f>
        <v>0</v>
      </c>
      <c r="X12" s="20">
        <f>SUBTOTAL(103,July[22])</f>
        <v>0</v>
      </c>
      <c r="Y12" s="20">
        <f>SUBTOTAL(103,July[23])</f>
        <v>0</v>
      </c>
      <c r="Z12" s="20">
        <f>SUBTOTAL(103,July[24])</f>
        <v>0</v>
      </c>
      <c r="AA12" s="20">
        <f>SUBTOTAL(103,July[25])</f>
        <v>0</v>
      </c>
      <c r="AB12" s="20">
        <f>SUBTOTAL(103,July[26])</f>
        <v>0</v>
      </c>
      <c r="AC12" s="20">
        <f>SUBTOTAL(103,July[27])</f>
        <v>0</v>
      </c>
      <c r="AD12" s="20">
        <f>SUBTOTAL(103,July[28])</f>
        <v>0</v>
      </c>
      <c r="AE12" s="20">
        <f>SUBTOTAL(103,July[29])</f>
        <v>0</v>
      </c>
      <c r="AF12" s="20">
        <f>SUBTOTAL(109,July[30])</f>
        <v>0</v>
      </c>
      <c r="AG12" s="20">
        <f>SUBTOTAL(109,July[31])</f>
        <v>0</v>
      </c>
      <c r="AH12" s="20">
        <f>SUBTOTAL(109,July[Total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46" priority="2" stopIfTrue="1">
      <formula>C7=KeyCustom2</formula>
    </cfRule>
    <cfRule type="expression" dxfId="445" priority="3" stopIfTrue="1">
      <formula>C7=KeyCustom1</formula>
    </cfRule>
    <cfRule type="expression" dxfId="444" priority="4" stopIfTrue="1">
      <formula>C7=KeySick</formula>
    </cfRule>
    <cfRule type="expression" dxfId="443" priority="5" stopIfTrue="1">
      <formula>C7=KeyPersonal</formula>
    </cfRule>
    <cfRule type="expression" dxfId="442"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600-000000000000}"/>
    <dataValidation allowBlank="1" showInputMessage="1" showErrorMessage="1" prompt="Month name for this absence schedule is in this cell. Absence totals for this month are in last cell of the table. Select employee names in table column B" sqref="B4" xr:uid="{00000000-0002-0000-0600-000001000000}"/>
    <dataValidation allowBlank="1" showInputMessage="1" showErrorMessage="1" prompt="This row defines the keys used in the table: cell C2 is Holiday, G2 is Personal &amp; K2 is Sick leave. Cells N2 &amp; R2 are customisable " sqref="B2" xr:uid="{00000000-0002-0000-0600-000002000000}"/>
    <dataValidation allowBlank="1" showInputMessage="1" showErrorMessage="1" prompt="Enter a label to describe the custom key to the left" sqref="O2:Q2 S2:U2" xr:uid="{00000000-0002-0000-0600-000003000000}"/>
    <dataValidation allowBlank="1" showInputMessage="1" showErrorMessage="1" prompt="Enter a letter and customise the label to the right to add another key item" sqref="N2 R2" xr:uid="{00000000-0002-0000-0600-000004000000}"/>
    <dataValidation allowBlank="1" showInputMessage="1" showErrorMessage="1" prompt="The letter &quot;S&quot; indicates absence due to illness" sqref="K2" xr:uid="{00000000-0002-0000-0600-000005000000}"/>
    <dataValidation allowBlank="1" showInputMessage="1" showErrorMessage="1" prompt="The letter &quot;P&quot; indicates absence due to personal reasons" sqref="G2" xr:uid="{00000000-0002-0000-0600-000006000000}"/>
    <dataValidation allowBlank="1" showInputMessage="1" showErrorMessage="1" prompt="The letter &quot;H&quot; indicates absence due to holiday" sqref="C2" xr:uid="{00000000-0002-0000-0600-000007000000}"/>
    <dataValidation allowBlank="1" showInputMessage="1" showErrorMessage="1" prompt="Automatically updated title is in this cell. To modify the title, update B1 on January worksheet" sqref="B1" xr:uid="{00000000-0002-0000-06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600-000009000000}"/>
    <dataValidation allowBlank="1" showInputMessage="1" showErrorMessage="1" prompt="Track July absence in this worksheet" sqref="A1" xr:uid="{00000000-0002-0000-0600-00000A000000}"/>
    <dataValidation allowBlank="1" showInputMessage="1" showErrorMessage="1" prompt="Automatically calculates total number of days an employee was absent this month in this column" sqref="AH6" xr:uid="{00000000-0002-0000-0600-00000B000000}"/>
    <dataValidation allowBlank="1" showInputMessage="1" showErrorMessage="1" prompt="Automatically updated year based on year entered in January worksheet" sqref="AH4" xr:uid="{00000000-0002-0000-06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6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E000000}">
          <x14:formula1>
            <xm:f>'Employee Names'!$B$4:$B$8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749992370372631"/>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59</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TEXT(WEEKDAY(DATE(CalendarYear,8,1),1),"aaa")</f>
        <v>Mon</v>
      </c>
      <c r="D5" s="13" t="str">
        <f>TEXT(WEEKDAY(DATE(CalendarYear,8,2),1),"aaa")</f>
        <v>Tue</v>
      </c>
      <c r="E5" s="13" t="str">
        <f>TEXT(WEEKDAY(DATE(CalendarYear,8,3),1),"aaa")</f>
        <v>Wed</v>
      </c>
      <c r="F5" s="13" t="str">
        <f>TEXT(WEEKDAY(DATE(CalendarYear,8,4),1),"aaa")</f>
        <v>Thu</v>
      </c>
      <c r="G5" s="13" t="str">
        <f>TEXT(WEEKDAY(DATE(CalendarYear,8,5),1),"aaa")</f>
        <v>Fri</v>
      </c>
      <c r="H5" s="13" t="str">
        <f>TEXT(WEEKDAY(DATE(CalendarYear,8,6),1),"aaa")</f>
        <v>Sat</v>
      </c>
      <c r="I5" s="13" t="str">
        <f>TEXT(WEEKDAY(DATE(CalendarYear,8,7),1),"aaa")</f>
        <v>Sun</v>
      </c>
      <c r="J5" s="13" t="str">
        <f>TEXT(WEEKDAY(DATE(CalendarYear,8,8),1),"aaa")</f>
        <v>Mon</v>
      </c>
      <c r="K5" s="13" t="str">
        <f>TEXT(WEEKDAY(DATE(CalendarYear,8,9),1),"aaa")</f>
        <v>Tue</v>
      </c>
      <c r="L5" s="13" t="str">
        <f>TEXT(WEEKDAY(DATE(CalendarYear,8,10),1),"aaa")</f>
        <v>Wed</v>
      </c>
      <c r="M5" s="13" t="str">
        <f>TEXT(WEEKDAY(DATE(CalendarYear,8,11),1),"aaa")</f>
        <v>Thu</v>
      </c>
      <c r="N5" s="13" t="str">
        <f>TEXT(WEEKDAY(DATE(CalendarYear,8,12),1),"aaa")</f>
        <v>Fri</v>
      </c>
      <c r="O5" s="13" t="str">
        <f>TEXT(WEEKDAY(DATE(CalendarYear,8,13),1),"aaa")</f>
        <v>Sat</v>
      </c>
      <c r="P5" s="13" t="str">
        <f>TEXT(WEEKDAY(DATE(CalendarYear,8,14),1),"aaa")</f>
        <v>Sun</v>
      </c>
      <c r="Q5" s="13" t="str">
        <f>TEXT(WEEKDAY(DATE(CalendarYear,8,15),1),"aaa")</f>
        <v>Mon</v>
      </c>
      <c r="R5" s="13" t="str">
        <f>TEXT(WEEKDAY(DATE(CalendarYear,8,16),1),"aaa")</f>
        <v>Tue</v>
      </c>
      <c r="S5" s="13" t="str">
        <f>TEXT(WEEKDAY(DATE(CalendarYear,8,17),1),"aaa")</f>
        <v>Wed</v>
      </c>
      <c r="T5" s="13" t="str">
        <f>TEXT(WEEKDAY(DATE(CalendarYear,8,18),1),"aaa")</f>
        <v>Thu</v>
      </c>
      <c r="U5" s="13" t="str">
        <f>TEXT(WEEKDAY(DATE(CalendarYear,8,19),1),"aaa")</f>
        <v>Fri</v>
      </c>
      <c r="V5" s="13" t="str">
        <f>TEXT(WEEKDAY(DATE(CalendarYear,8,20),1),"aaa")</f>
        <v>Sat</v>
      </c>
      <c r="W5" s="13" t="str">
        <f>TEXT(WEEKDAY(DATE(CalendarYear,8,21),1),"aaa")</f>
        <v>Sun</v>
      </c>
      <c r="X5" s="13" t="str">
        <f>TEXT(WEEKDAY(DATE(CalendarYear,8,22),1),"aaa")</f>
        <v>Mon</v>
      </c>
      <c r="Y5" s="13" t="str">
        <f>TEXT(WEEKDAY(DATE(CalendarYear,8,23),1),"aaa")</f>
        <v>Tue</v>
      </c>
      <c r="Z5" s="13" t="str">
        <f>TEXT(WEEKDAY(DATE(CalendarYear,8,24),1),"aaa")</f>
        <v>Wed</v>
      </c>
      <c r="AA5" s="13" t="str">
        <f>TEXT(WEEKDAY(DATE(CalendarYear,8,25),1),"aaa")</f>
        <v>Thu</v>
      </c>
      <c r="AB5" s="13" t="str">
        <f>TEXT(WEEKDAY(DATE(CalendarYear,8,26),1),"aaa")</f>
        <v>Fri</v>
      </c>
      <c r="AC5" s="13" t="str">
        <f>TEXT(WEEKDAY(DATE(CalendarYear,8,27),1),"aaa")</f>
        <v>Sat</v>
      </c>
      <c r="AD5" s="13" t="str">
        <f>TEXT(WEEKDAY(DATE(CalendarYear,8,28),1),"aaa")</f>
        <v>Sun</v>
      </c>
      <c r="AE5" s="13" t="str">
        <f>TEXT(WEEKDAY(DATE(CalendarYear,8,29),1),"aaa")</f>
        <v>Mon</v>
      </c>
      <c r="AF5" s="13" t="str">
        <f>TEXT(WEEKDAY(DATE(CalendarYear,8,30),1),"aaa")</f>
        <v>Tue</v>
      </c>
      <c r="AG5" s="13" t="str">
        <f>TEXT(WEEKDAY(DATE(CalendarYear,8,31),1),"aaa")</f>
        <v>Wed</v>
      </c>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COUNTA(August[[#This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COUNTA(August[[#This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COUNTA(August[[#This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COUNTA(August[[#This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COUNTA(August[[#This Row],[1]:[31]])</f>
        <v>0</v>
      </c>
    </row>
    <row r="12" spans="2:34" ht="30" customHeight="1" x14ac:dyDescent="0.2">
      <c r="B12" s="19" t="str">
        <f>MonthName&amp;" Total"</f>
        <v>August Total</v>
      </c>
      <c r="C12" s="20">
        <f>SUBTOTAL(103,August[1])</f>
        <v>0</v>
      </c>
      <c r="D12" s="20">
        <f>SUBTOTAL(103,August[2])</f>
        <v>0</v>
      </c>
      <c r="E12" s="20">
        <f>SUBTOTAL(103,August[3])</f>
        <v>0</v>
      </c>
      <c r="F12" s="20">
        <f>SUBTOTAL(103,August[4])</f>
        <v>0</v>
      </c>
      <c r="G12" s="20">
        <f>SUBTOTAL(103,August[5])</f>
        <v>0</v>
      </c>
      <c r="H12" s="20">
        <f>SUBTOTAL(103,August[6])</f>
        <v>0</v>
      </c>
      <c r="I12" s="20">
        <f>SUBTOTAL(103,August[7])</f>
        <v>0</v>
      </c>
      <c r="J12" s="20">
        <f>SUBTOTAL(103,August[8])</f>
        <v>0</v>
      </c>
      <c r="K12" s="20">
        <f>SUBTOTAL(103,August[9])</f>
        <v>0</v>
      </c>
      <c r="L12" s="20">
        <f>SUBTOTAL(103,August[10])</f>
        <v>0</v>
      </c>
      <c r="M12" s="20">
        <f>SUBTOTAL(103,August[11])</f>
        <v>0</v>
      </c>
      <c r="N12" s="20">
        <f>SUBTOTAL(103,August[12])</f>
        <v>0</v>
      </c>
      <c r="O12" s="20">
        <f>SUBTOTAL(103,August[13])</f>
        <v>0</v>
      </c>
      <c r="P12" s="20">
        <f>SUBTOTAL(103,August[14])</f>
        <v>0</v>
      </c>
      <c r="Q12" s="20">
        <f>SUBTOTAL(103,August[15])</f>
        <v>0</v>
      </c>
      <c r="R12" s="20">
        <f>SUBTOTAL(103,August[16])</f>
        <v>0</v>
      </c>
      <c r="S12" s="20">
        <f>SUBTOTAL(103,August[17])</f>
        <v>0</v>
      </c>
      <c r="T12" s="20">
        <f>SUBTOTAL(103,August[18])</f>
        <v>0</v>
      </c>
      <c r="U12" s="20">
        <f>SUBTOTAL(103,August[19])</f>
        <v>0</v>
      </c>
      <c r="V12" s="20">
        <f>SUBTOTAL(103,August[20])</f>
        <v>0</v>
      </c>
      <c r="W12" s="20">
        <f>SUBTOTAL(103,August[21])</f>
        <v>0</v>
      </c>
      <c r="X12" s="20">
        <f>SUBTOTAL(103,August[22])</f>
        <v>0</v>
      </c>
      <c r="Y12" s="20">
        <f>SUBTOTAL(103,August[23])</f>
        <v>0</v>
      </c>
      <c r="Z12" s="20">
        <f>SUBTOTAL(103,August[24])</f>
        <v>0</v>
      </c>
      <c r="AA12" s="20">
        <f>SUBTOTAL(103,August[25])</f>
        <v>0</v>
      </c>
      <c r="AB12" s="20">
        <f>SUBTOTAL(103,August[26])</f>
        <v>0</v>
      </c>
      <c r="AC12" s="20">
        <f>SUBTOTAL(103,August[27])</f>
        <v>0</v>
      </c>
      <c r="AD12" s="20">
        <f>SUBTOTAL(103,August[28])</f>
        <v>0</v>
      </c>
      <c r="AE12" s="20">
        <f>SUBTOTAL(103,August[29])</f>
        <v>0</v>
      </c>
      <c r="AF12" s="20">
        <f>SUBTOTAL(109,August[30])</f>
        <v>0</v>
      </c>
      <c r="AG12" s="20">
        <f>SUBTOTAL(109,August[31])</f>
        <v>0</v>
      </c>
      <c r="AH12" s="20">
        <f>SUBTOTAL(109,August[Total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372" priority="2" stopIfTrue="1">
      <formula>C7=KeyCustom2</formula>
    </cfRule>
    <cfRule type="expression" dxfId="371" priority="3" stopIfTrue="1">
      <formula>C7=KeyCustom1</formula>
    </cfRule>
    <cfRule type="expression" dxfId="370" priority="4" stopIfTrue="1">
      <formula>C7=KeySick</formula>
    </cfRule>
    <cfRule type="expression" dxfId="369" priority="5" stopIfTrue="1">
      <formula>C7=KeyPersonal</formula>
    </cfRule>
    <cfRule type="expression" dxfId="368"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700-000000000000}"/>
    <dataValidation allowBlank="1" showInputMessage="1" showErrorMessage="1" prompt="Automatically updated year based on year entered in January worksheet" sqref="AH4" xr:uid="{00000000-0002-0000-0700-000001000000}"/>
    <dataValidation allowBlank="1" showInputMessage="1" showErrorMessage="1" prompt="Automatically calculates total number of days an employee was absent this month in this column" sqref="AH6" xr:uid="{00000000-0002-0000-0700-000002000000}"/>
    <dataValidation allowBlank="1" showInputMessage="1" showErrorMessage="1" prompt="Track August absence in this worksheet" sqref="A1" xr:uid="{00000000-0002-0000-07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700-000004000000}"/>
    <dataValidation allowBlank="1" showInputMessage="1" showErrorMessage="1" prompt="Automatically updated title is in this cell. To modify the title, update B1 on January worksheet" sqref="B1" xr:uid="{00000000-0002-0000-0700-000005000000}"/>
    <dataValidation allowBlank="1" showInputMessage="1" showErrorMessage="1" prompt="The letter &quot;H&quot; indicates absence due to holiday" sqref="C2" xr:uid="{00000000-0002-0000-0700-000006000000}"/>
    <dataValidation allowBlank="1" showInputMessage="1" showErrorMessage="1" prompt="The letter &quot;P&quot; indicates absence due to personal reasons" sqref="G2" xr:uid="{00000000-0002-0000-0700-000007000000}"/>
    <dataValidation allowBlank="1" showInputMessage="1" showErrorMessage="1" prompt="The letter &quot;S&quot; indicates absence due to illness" sqref="K2" xr:uid="{00000000-0002-0000-0700-000008000000}"/>
    <dataValidation allowBlank="1" showInputMessage="1" showErrorMessage="1" prompt="Enter a letter and customise the label to the right to add another key item" sqref="N2 R2" xr:uid="{00000000-0002-0000-0700-000009000000}"/>
    <dataValidation allowBlank="1" showInputMessage="1" showErrorMessage="1" prompt="Enter a label to describe the custom key to the left" sqref="O2:Q2 S2:U2" xr:uid="{00000000-0002-0000-0700-00000A000000}"/>
    <dataValidation allowBlank="1" showInputMessage="1" showErrorMessage="1" prompt="This row defines the keys used in the table: cell C2 is Holiday, G2 is Personal &amp; K2 is Sick leave. Cells N2 &amp; R2 are customisable " sqref="B2" xr:uid="{00000000-0002-0000-0700-00000B000000}"/>
    <dataValidation allowBlank="1" showInputMessage="1" showErrorMessage="1" prompt="Month name for this absence schedule is in this cell. Absence totals for this month are in last cell of the table. Select employee names in table column B" sqref="B4" xr:uid="{00000000-0002-0000-07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7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E000000}">
          <x14:formula1>
            <xm:f>'Employee Names'!$B$4:$B$8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A1:AH12"/>
  <sheetViews>
    <sheetView showGridLines="0" zoomScaleNormal="100" workbookViewId="0">
      <selection activeCell="B1" sqref="B1"/>
    </sheetView>
  </sheetViews>
  <sheetFormatPr baseColWidth="10" defaultColWidth="8.83203125" defaultRowHeight="30" customHeight="1" x14ac:dyDescent="0.2"/>
  <cols>
    <col min="1" max="1" width="2.6640625" style="3" customWidth="1"/>
    <col min="2" max="2" width="25.6640625" style="3" customWidth="1"/>
    <col min="3" max="33" width="4.6640625" style="3" customWidth="1"/>
    <col min="34" max="34" width="13.5" style="3" customWidth="1"/>
    <col min="35" max="35" width="2.6640625" style="4" customWidth="1"/>
    <col min="36" max="16384" width="8.83203125" style="4"/>
  </cols>
  <sheetData>
    <row r="1" spans="2:34" ht="50" customHeight="1" x14ac:dyDescent="0.2">
      <c r="B1" s="2" t="str">
        <f>Employee_Absence_Title</f>
        <v>Employee Absence Schedule</v>
      </c>
    </row>
    <row r="2" spans="2:34" ht="15" customHeight="1" x14ac:dyDescent="0.2">
      <c r="B2" s="5" t="s">
        <v>1</v>
      </c>
      <c r="C2" s="6" t="s">
        <v>9</v>
      </c>
      <c r="D2" s="26" t="s">
        <v>12</v>
      </c>
      <c r="E2" s="26"/>
      <c r="F2" s="26"/>
      <c r="G2" s="7" t="s">
        <v>15</v>
      </c>
      <c r="H2" s="26" t="s">
        <v>19</v>
      </c>
      <c r="I2" s="26"/>
      <c r="J2" s="26"/>
      <c r="K2" s="8" t="s">
        <v>17</v>
      </c>
      <c r="L2" s="26" t="s">
        <v>24</v>
      </c>
      <c r="M2" s="26"/>
      <c r="N2" s="9"/>
      <c r="O2" s="26" t="s">
        <v>28</v>
      </c>
      <c r="P2" s="26"/>
      <c r="Q2" s="26"/>
      <c r="R2" s="10"/>
      <c r="S2" s="26" t="s">
        <v>33</v>
      </c>
      <c r="T2" s="26"/>
      <c r="U2" s="26"/>
    </row>
    <row r="3" spans="2:34" ht="15" customHeight="1" x14ac:dyDescent="0.2">
      <c r="B3" s="21"/>
    </row>
    <row r="4" spans="2:34" ht="30" customHeight="1" x14ac:dyDescent="0.2">
      <c r="B4" s="12" t="s">
        <v>60</v>
      </c>
      <c r="C4" s="25" t="s">
        <v>10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12">
        <f>CalendarYear</f>
        <v>2022</v>
      </c>
    </row>
    <row r="5" spans="2:34" ht="15" customHeight="1" x14ac:dyDescent="0.2">
      <c r="B5" s="12"/>
      <c r="C5" s="13" t="str">
        <f>TEXT(WEEKDAY(DATE(CalendarYear,9,1),1),"aaa")</f>
        <v>Thu</v>
      </c>
      <c r="D5" s="13" t="str">
        <f>TEXT(WEEKDAY(DATE(CalendarYear,9,2),1),"aaa")</f>
        <v>Fri</v>
      </c>
      <c r="E5" s="13" t="str">
        <f>TEXT(WEEKDAY(DATE(CalendarYear,9,3),1),"aaa")</f>
        <v>Sat</v>
      </c>
      <c r="F5" s="13" t="str">
        <f>TEXT(WEEKDAY(DATE(CalendarYear,9,4),1),"aaa")</f>
        <v>Sun</v>
      </c>
      <c r="G5" s="13" t="str">
        <f>TEXT(WEEKDAY(DATE(CalendarYear,9,5),1),"aaa")</f>
        <v>Mon</v>
      </c>
      <c r="H5" s="13" t="str">
        <f>TEXT(WEEKDAY(DATE(CalendarYear,9,6),1),"aaa")</f>
        <v>Tue</v>
      </c>
      <c r="I5" s="13" t="str">
        <f>TEXT(WEEKDAY(DATE(CalendarYear,9,7),1),"aaa")</f>
        <v>Wed</v>
      </c>
      <c r="J5" s="13" t="str">
        <f>TEXT(WEEKDAY(DATE(CalendarYear,9,8),1),"aaa")</f>
        <v>Thu</v>
      </c>
      <c r="K5" s="13" t="str">
        <f>TEXT(WEEKDAY(DATE(CalendarYear,9,9),1),"aaa")</f>
        <v>Fri</v>
      </c>
      <c r="L5" s="13" t="str">
        <f>TEXT(WEEKDAY(DATE(CalendarYear,9,10),1),"aaa")</f>
        <v>Sat</v>
      </c>
      <c r="M5" s="13" t="str">
        <f>TEXT(WEEKDAY(DATE(CalendarYear,9,11),1),"aaa")</f>
        <v>Sun</v>
      </c>
      <c r="N5" s="13" t="str">
        <f>TEXT(WEEKDAY(DATE(CalendarYear,9,12),1),"aaa")</f>
        <v>Mon</v>
      </c>
      <c r="O5" s="13" t="str">
        <f>TEXT(WEEKDAY(DATE(CalendarYear,9,13),1),"aaa")</f>
        <v>Tue</v>
      </c>
      <c r="P5" s="13" t="str">
        <f>TEXT(WEEKDAY(DATE(CalendarYear,9,14),1),"aaa")</f>
        <v>Wed</v>
      </c>
      <c r="Q5" s="13" t="str">
        <f>TEXT(WEEKDAY(DATE(CalendarYear,9,15),1),"aaa")</f>
        <v>Thu</v>
      </c>
      <c r="R5" s="13" t="str">
        <f>TEXT(WEEKDAY(DATE(CalendarYear,9,16),1),"aaa")</f>
        <v>Fri</v>
      </c>
      <c r="S5" s="13" t="str">
        <f>TEXT(WEEKDAY(DATE(CalendarYear,9,17),1),"aaa")</f>
        <v>Sat</v>
      </c>
      <c r="T5" s="13" t="str">
        <f>TEXT(WEEKDAY(DATE(CalendarYear,9,18),1),"aaa")</f>
        <v>Sun</v>
      </c>
      <c r="U5" s="13" t="str">
        <f>TEXT(WEEKDAY(DATE(CalendarYear,9,19),1),"aaa")</f>
        <v>Mon</v>
      </c>
      <c r="V5" s="13" t="str">
        <f>TEXT(WEEKDAY(DATE(CalendarYear,9,20),1),"aaa")</f>
        <v>Tue</v>
      </c>
      <c r="W5" s="13" t="str">
        <f>TEXT(WEEKDAY(DATE(CalendarYear,9,21),1),"aaa")</f>
        <v>Wed</v>
      </c>
      <c r="X5" s="13" t="str">
        <f>TEXT(WEEKDAY(DATE(CalendarYear,9,22),1),"aaa")</f>
        <v>Thu</v>
      </c>
      <c r="Y5" s="13" t="str">
        <f>TEXT(WEEKDAY(DATE(CalendarYear,9,23),1),"aaa")</f>
        <v>Fri</v>
      </c>
      <c r="Z5" s="13" t="str">
        <f>TEXT(WEEKDAY(DATE(CalendarYear,9,24),1),"aaa")</f>
        <v>Sat</v>
      </c>
      <c r="AA5" s="13" t="str">
        <f>TEXT(WEEKDAY(DATE(CalendarYear,9,25),1),"aaa")</f>
        <v>Sun</v>
      </c>
      <c r="AB5" s="13" t="str">
        <f>TEXT(WEEKDAY(DATE(CalendarYear,9,26),1),"aaa")</f>
        <v>Mon</v>
      </c>
      <c r="AC5" s="13" t="str">
        <f>TEXT(WEEKDAY(DATE(CalendarYear,9,27),1),"aaa")</f>
        <v>Tue</v>
      </c>
      <c r="AD5" s="13" t="str">
        <f>TEXT(WEEKDAY(DATE(CalendarYear,9,28),1),"aaa")</f>
        <v>Wed</v>
      </c>
      <c r="AE5" s="13" t="str">
        <f>TEXT(WEEKDAY(DATE(CalendarYear,9,29),1),"aaa")</f>
        <v>Thu</v>
      </c>
      <c r="AF5" s="13" t="str">
        <f>TEXT(WEEKDAY(DATE(CalendarYear,9,30),1),"aaa")</f>
        <v>Fri</v>
      </c>
      <c r="AG5" s="13"/>
      <c r="AH5" s="12"/>
    </row>
    <row r="6" spans="2:34" ht="15" customHeight="1" x14ac:dyDescent="0.2">
      <c r="B6" s="14" t="s">
        <v>3</v>
      </c>
      <c r="C6" s="15" t="s">
        <v>11</v>
      </c>
      <c r="D6" s="15" t="s">
        <v>13</v>
      </c>
      <c r="E6" s="15" t="s">
        <v>14</v>
      </c>
      <c r="F6" s="15" t="s">
        <v>16</v>
      </c>
      <c r="G6" s="15" t="s">
        <v>18</v>
      </c>
      <c r="H6" s="15" t="s">
        <v>20</v>
      </c>
      <c r="I6" s="15" t="s">
        <v>21</v>
      </c>
      <c r="J6" s="15" t="s">
        <v>22</v>
      </c>
      <c r="K6" s="15" t="s">
        <v>23</v>
      </c>
      <c r="L6" s="15" t="s">
        <v>25</v>
      </c>
      <c r="M6" s="15" t="s">
        <v>26</v>
      </c>
      <c r="N6" s="15" t="s">
        <v>27</v>
      </c>
      <c r="O6" s="15" t="s">
        <v>29</v>
      </c>
      <c r="P6" s="15" t="s">
        <v>30</v>
      </c>
      <c r="Q6" s="15" t="s">
        <v>31</v>
      </c>
      <c r="R6" s="15" t="s">
        <v>32</v>
      </c>
      <c r="S6" s="15" t="s">
        <v>34</v>
      </c>
      <c r="T6" s="15" t="s">
        <v>35</v>
      </c>
      <c r="U6" s="15" t="s">
        <v>36</v>
      </c>
      <c r="V6" s="15" t="s">
        <v>37</v>
      </c>
      <c r="W6" s="15" t="s">
        <v>38</v>
      </c>
      <c r="X6" s="15" t="s">
        <v>39</v>
      </c>
      <c r="Y6" s="15" t="s">
        <v>40</v>
      </c>
      <c r="Z6" s="15" t="s">
        <v>41</v>
      </c>
      <c r="AA6" s="15" t="s">
        <v>42</v>
      </c>
      <c r="AB6" s="15" t="s">
        <v>43</v>
      </c>
      <c r="AC6" s="15" t="s">
        <v>44</v>
      </c>
      <c r="AD6" s="15" t="s">
        <v>45</v>
      </c>
      <c r="AE6" s="15" t="s">
        <v>46</v>
      </c>
      <c r="AF6" s="15" t="s">
        <v>47</v>
      </c>
      <c r="AG6" s="15" t="s">
        <v>48</v>
      </c>
      <c r="AH6" s="16" t="s">
        <v>50</v>
      </c>
    </row>
    <row r="7" spans="2:34" ht="30" customHeight="1" x14ac:dyDescent="0.2">
      <c r="B7" s="22" t="s">
        <v>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8">
        <f>COUNTA(September[[#This Row],[1]:[31]])</f>
        <v>0</v>
      </c>
    </row>
    <row r="8" spans="2:34" ht="30" customHeight="1" x14ac:dyDescent="0.2">
      <c r="B8" s="22"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8">
        <f>COUNTA(September[[#This Row],[1]:[31]])</f>
        <v>0</v>
      </c>
    </row>
    <row r="9" spans="2:34" ht="30" customHeight="1" x14ac:dyDescent="0.2">
      <c r="B9" s="22"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8">
        <f>COUNTA(September[[#This Row],[1]:[31]])</f>
        <v>0</v>
      </c>
    </row>
    <row r="10" spans="2:34" ht="30" customHeight="1" x14ac:dyDescent="0.2">
      <c r="B10" s="22" t="s">
        <v>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8">
        <f>COUNTA(September[[#This Row],[1]:[31]])</f>
        <v>0</v>
      </c>
    </row>
    <row r="11" spans="2:34" ht="30" customHeight="1" x14ac:dyDescent="0.2">
      <c r="B11" s="22" t="s">
        <v>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8">
        <f>COUNTA(September[[#This Row],[1]:[31]])</f>
        <v>0</v>
      </c>
    </row>
    <row r="12" spans="2:34" ht="30" customHeight="1" x14ac:dyDescent="0.2">
      <c r="B12" s="19" t="str">
        <f>MonthName&amp;" Total"</f>
        <v>September Total</v>
      </c>
      <c r="C12" s="20">
        <f>SUBTOTAL(103,September[1])</f>
        <v>0</v>
      </c>
      <c r="D12" s="20">
        <f>SUBTOTAL(103,September[2])</f>
        <v>0</v>
      </c>
      <c r="E12" s="20">
        <f>SUBTOTAL(103,September[3])</f>
        <v>0</v>
      </c>
      <c r="F12" s="20">
        <f>SUBTOTAL(103,September[4])</f>
        <v>0</v>
      </c>
      <c r="G12" s="20">
        <f>SUBTOTAL(103,September[5])</f>
        <v>0</v>
      </c>
      <c r="H12" s="20">
        <f>SUBTOTAL(103,September[6])</f>
        <v>0</v>
      </c>
      <c r="I12" s="20">
        <f>SUBTOTAL(103,September[7])</f>
        <v>0</v>
      </c>
      <c r="J12" s="20">
        <f>SUBTOTAL(103,September[8])</f>
        <v>0</v>
      </c>
      <c r="K12" s="20">
        <f>SUBTOTAL(103,September[9])</f>
        <v>0</v>
      </c>
      <c r="L12" s="20">
        <f>SUBTOTAL(103,September[10])</f>
        <v>0</v>
      </c>
      <c r="M12" s="20">
        <f>SUBTOTAL(103,September[11])</f>
        <v>0</v>
      </c>
      <c r="N12" s="20">
        <f>SUBTOTAL(103,September[12])</f>
        <v>0</v>
      </c>
      <c r="O12" s="20">
        <f>SUBTOTAL(103,September[13])</f>
        <v>0</v>
      </c>
      <c r="P12" s="20">
        <f>SUBTOTAL(103,September[14])</f>
        <v>0</v>
      </c>
      <c r="Q12" s="20">
        <f>SUBTOTAL(103,September[15])</f>
        <v>0</v>
      </c>
      <c r="R12" s="20">
        <f>SUBTOTAL(103,September[16])</f>
        <v>0</v>
      </c>
      <c r="S12" s="20">
        <f>SUBTOTAL(103,September[17])</f>
        <v>0</v>
      </c>
      <c r="T12" s="20">
        <f>SUBTOTAL(103,September[18])</f>
        <v>0</v>
      </c>
      <c r="U12" s="20">
        <f>SUBTOTAL(103,September[19])</f>
        <v>0</v>
      </c>
      <c r="V12" s="20">
        <f>SUBTOTAL(103,September[20])</f>
        <v>0</v>
      </c>
      <c r="W12" s="20">
        <f>SUBTOTAL(103,September[21])</f>
        <v>0</v>
      </c>
      <c r="X12" s="20">
        <f>SUBTOTAL(103,September[22])</f>
        <v>0</v>
      </c>
      <c r="Y12" s="20">
        <f>SUBTOTAL(103,September[23])</f>
        <v>0</v>
      </c>
      <c r="Z12" s="20">
        <f>SUBTOTAL(103,September[24])</f>
        <v>0</v>
      </c>
      <c r="AA12" s="20">
        <f>SUBTOTAL(103,September[25])</f>
        <v>0</v>
      </c>
      <c r="AB12" s="20">
        <f>SUBTOTAL(103,September[26])</f>
        <v>0</v>
      </c>
      <c r="AC12" s="20">
        <f>SUBTOTAL(103,September[27])</f>
        <v>0</v>
      </c>
      <c r="AD12" s="20">
        <f>SUBTOTAL(103,September[28])</f>
        <v>0</v>
      </c>
      <c r="AE12" s="20">
        <f>SUBTOTAL(103,September[29])</f>
        <v>0</v>
      </c>
      <c r="AF12" s="20">
        <f>SUBTOTAL(109,September[30])</f>
        <v>0</v>
      </c>
      <c r="AG12" s="20">
        <f>SUBTOTAL(109,September[31])</f>
        <v>0</v>
      </c>
      <c r="AH12" s="20">
        <f>SUBTOTAL(109,September[Total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98" priority="2" stopIfTrue="1">
      <formula>C7=KeyCustom2</formula>
    </cfRule>
    <cfRule type="expression" dxfId="297" priority="3" stopIfTrue="1">
      <formula>C7=KeyCustom1</formula>
    </cfRule>
    <cfRule type="expression" dxfId="296" priority="4" stopIfTrue="1">
      <formula>C7=KeySick</formula>
    </cfRule>
    <cfRule type="expression" dxfId="295" priority="5" stopIfTrue="1">
      <formula>C7=KeyPersonal</formula>
    </cfRule>
    <cfRule type="expression" dxfId="294" priority="6" stopIfTrue="1">
      <formula>C7=KeyHoliday</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800-000000000000}"/>
    <dataValidation allowBlank="1" showInputMessage="1" showErrorMessage="1" prompt="Month name for this absence schedule is in this cell. Absence totals for this month are in last cell of the table. Select employee names in table column B" sqref="B4" xr:uid="{00000000-0002-0000-0800-000001000000}"/>
    <dataValidation allowBlank="1" showInputMessage="1" showErrorMessage="1" prompt="This row defines the keys used in the table: cell C2 is Holiday, G2 is Personal &amp; K2 is Sick leave. Cells N2 &amp; R2 are customisable " sqref="B2" xr:uid="{00000000-0002-0000-0800-000002000000}"/>
    <dataValidation allowBlank="1" showInputMessage="1" showErrorMessage="1" prompt="Enter a label to describe the custom key to the left" sqref="O2:Q2 S2:U2" xr:uid="{00000000-0002-0000-0800-000003000000}"/>
    <dataValidation allowBlank="1" showInputMessage="1" showErrorMessage="1" prompt="Enter a letter and customise the label to the right to add another key item" sqref="N2 R2" xr:uid="{00000000-0002-0000-0800-000004000000}"/>
    <dataValidation allowBlank="1" showInputMessage="1" showErrorMessage="1" prompt="The letter &quot;S&quot; indicates absence due to illness" sqref="K2" xr:uid="{00000000-0002-0000-0800-000005000000}"/>
    <dataValidation allowBlank="1" showInputMessage="1" showErrorMessage="1" prompt="The letter &quot;P&quot; indicates absence due to personal reasons" sqref="G2" xr:uid="{00000000-0002-0000-0800-000006000000}"/>
    <dataValidation allowBlank="1" showInputMessage="1" showErrorMessage="1" prompt="The letter &quot;H&quot; indicates absence due to holiday" sqref="C2" xr:uid="{00000000-0002-0000-0800-000007000000}"/>
    <dataValidation allowBlank="1" showInputMessage="1" showErrorMessage="1" prompt="Automatically updated title is in this cell. To modify the title, update B1 on January worksheet" sqref="B1" xr:uid="{00000000-0002-0000-08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800-000009000000}"/>
    <dataValidation allowBlank="1" showInputMessage="1" showErrorMessage="1" prompt="Track September absence in this worksheet" sqref="A1" xr:uid="{00000000-0002-0000-0800-00000A000000}"/>
    <dataValidation allowBlank="1" showInputMessage="1" showErrorMessage="1" prompt="Automatically calculates total number of days an employee was absent this month in this column" sqref="AH6" xr:uid="{00000000-0002-0000-0800-00000B000000}"/>
    <dataValidation allowBlank="1" showInputMessage="1" showErrorMessage="1" prompt="Automatically updated year based on year entered in January worksheet" sqref="AH4" xr:uid="{00000000-0002-0000-08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800-00000D000000}"/>
  </dataValidations>
  <printOptions horizontalCentered="1"/>
  <pageMargins left="0.25" right="0.25" top="0.75" bottom="0.75" header="0.3" footer="0.3"/>
  <pageSetup paperSize="9"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E000000}">
          <x14:formula1>
            <xm:f>'Employee Names'!$B$4:$B$8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50</vt:i4>
      </vt:variant>
    </vt:vector>
  </HeadingPairs>
  <TitlesOfParts>
    <vt:vector size="63" baseType="lpstr">
      <vt:lpstr>January</vt:lpstr>
      <vt:lpstr>February</vt:lpstr>
      <vt:lpstr>March</vt:lpstr>
      <vt:lpstr>April</vt:lpstr>
      <vt:lpstr>May</vt:lpstr>
      <vt:lpstr>June</vt:lpstr>
      <vt:lpstr>July</vt:lpstr>
      <vt:lpstr>August</vt:lpstr>
      <vt:lpstr>September</vt:lpstr>
      <vt:lpstr>October</vt:lpstr>
      <vt:lpstr>November</vt:lpstr>
      <vt:lpstr>December</vt:lpstr>
      <vt:lpstr>Employee Names</vt:lpstr>
      <vt:lpstr>CalendarYear</vt:lpstr>
      <vt:lpstr>ColumnTitle13</vt:lpstr>
      <vt:lpstr>Employee_Absence_Title</vt:lpstr>
      <vt:lpstr>Key_name</vt:lpstr>
      <vt:lpstr>KeyCustom1</vt:lpstr>
      <vt:lpstr>KeyCustom1Label</vt:lpstr>
      <vt:lpstr>KeyCustom2</vt:lpstr>
      <vt:lpstr>KeyCustom2Label</vt:lpstr>
      <vt:lpstr>KeyHoliday</vt:lpstr>
      <vt:lpstr>KeyHolidayLabel</vt:lpstr>
      <vt:lpstr>KeyPersonal</vt:lpstr>
      <vt:lpstr>KeyPersonalLabel</vt:lpstr>
      <vt:lpstr>KeySick</vt:lpstr>
      <vt:lpstr>KeySickLabel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lpstr>Title1</vt:lpstr>
      <vt:lpstr>Title10</vt:lpstr>
      <vt:lpstr>Title11</vt:lpstr>
      <vt:lpstr>Title12</vt:lpstr>
      <vt:lpstr>Title2</vt:lpstr>
      <vt:lpstr>Title3</vt:lpstr>
      <vt:lpstr>Title4</vt:lpstr>
      <vt:lpstr>Title5</vt:lpstr>
      <vt:lpstr>Title6</vt:lpstr>
      <vt:lpstr>Title7</vt:lpstr>
      <vt:lpstr>Title8</vt:lpstr>
      <vt:lpstr>Title9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 Office User</cp:lastModifiedBy>
  <dcterms:created xsi:type="dcterms:W3CDTF">2016-12-06T04:52:27Z</dcterms:created>
  <dcterms:modified xsi:type="dcterms:W3CDTF">2022-04-04T13:54:08Z</dcterms:modified>
</cp:coreProperties>
</file>