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joe/Downloads/"/>
    </mc:Choice>
  </mc:AlternateContent>
  <xr:revisionPtr revIDLastSave="0" documentId="13_ncr:1_{AB746B97-9318-DC40-A020-A0338C22FCD6}" xr6:coauthVersionLast="47" xr6:coauthVersionMax="47" xr10:uidLastSave="{00000000-0000-0000-0000-000000000000}"/>
  <bookViews>
    <workbookView xWindow="42000" yWindow="2640" windowWidth="32620" windowHeight="15480" tabRatio="686" xr2:uid="{00000000-000D-0000-FFFF-FFFF00000000}"/>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 name="Employee Names" sheetId="16" r:id="rId13"/>
  </sheets>
  <definedNames>
    <definedName name="CalendarYear">January!$AH$4</definedName>
    <definedName name="ColumnTitle13">EmployeeName[[#Headers],[Employee Names]]</definedName>
    <definedName name="Employee_Absence_Title">January!$B$1</definedName>
    <definedName name="Key_name">January!$B$2</definedName>
    <definedName name="KeyCustom1">January!$N$2</definedName>
    <definedName name="KeyCustom1Label">January!$O$2</definedName>
    <definedName name="KeyCustom2">January!$R$2</definedName>
    <definedName name="KeyCustom2Label">January!$S$2</definedName>
    <definedName name="KeyHoliday">January!$C$2</definedName>
    <definedName name="KeyHolidayLabel">January!$D$2</definedName>
    <definedName name="KeyPersonal">January!$G$2</definedName>
    <definedName name="KeyPersonalLabel">January!$H$2</definedName>
    <definedName name="KeySick">January!$K$2</definedName>
    <definedName name="KeySickLabel">January!$L$2</definedName>
    <definedName name="MonthName" localSheetId="3">April!$B$4</definedName>
    <definedName name="MonthName" localSheetId="7">August!$B$4</definedName>
    <definedName name="MonthName" localSheetId="11">December!$B$4</definedName>
    <definedName name="MonthName" localSheetId="1">February!$B$4</definedName>
    <definedName name="MonthName" localSheetId="0">January!$B$4</definedName>
    <definedName name="MonthName" localSheetId="6">July!$B$4</definedName>
    <definedName name="MonthName" localSheetId="5">June!$B$4</definedName>
    <definedName name="MonthName" localSheetId="2">March!$B$4</definedName>
    <definedName name="MonthName" localSheetId="4">May!$B$4</definedName>
    <definedName name="MonthName" localSheetId="10">November!$B$4</definedName>
    <definedName name="MonthName" localSheetId="9">October!$B$4</definedName>
    <definedName name="MonthName" localSheetId="8">September!$B$4</definedName>
    <definedName name="_xlnm.Print_Titles" localSheetId="3">April!$4:$6</definedName>
    <definedName name="_xlnm.Print_Titles" localSheetId="7">August!$4:$6</definedName>
    <definedName name="_xlnm.Print_Titles" localSheetId="11">December!$4:$6</definedName>
    <definedName name="_xlnm.Print_Titles" localSheetId="1">February!$4:$6</definedName>
    <definedName name="_xlnm.Print_Titles" localSheetId="0">January!$4:$6</definedName>
    <definedName name="_xlnm.Print_Titles" localSheetId="6">July!$4:$6</definedName>
    <definedName name="_xlnm.Print_Titles" localSheetId="5">June!$4:$6</definedName>
    <definedName name="_xlnm.Print_Titles" localSheetId="2">March!$4:$6</definedName>
    <definedName name="_xlnm.Print_Titles" localSheetId="4">May!$4:$6</definedName>
    <definedName name="_xlnm.Print_Titles" localSheetId="10">November!$4:$6</definedName>
    <definedName name="_xlnm.Print_Titles" localSheetId="9">October!$4:$6</definedName>
    <definedName name="_xlnm.Print_Titles" localSheetId="8">September!$4:$6</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February[[#Headers],[Employee Name]]</definedName>
    <definedName name="Title3">March[[#Headers],[Employee Name]]</definedName>
    <definedName name="Title4">April[[#Headers],[Employee Name]]</definedName>
    <definedName name="Title5">May[[#Headers],[Employee Name]]</definedName>
    <definedName name="Title6">June[[#Headers],[Employee Name]]</definedName>
    <definedName name="Title7">July[[#Headers],[Employee Name]]</definedName>
    <definedName name="Title8">August[[#Headers],[Employee Name]]</definedName>
    <definedName name="Title9">September[[#Headers],[Employee Name]]</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17" l="1"/>
  <c r="E12" i="17"/>
  <c r="F12" i="17"/>
  <c r="G12" i="17"/>
  <c r="H12" i="17"/>
  <c r="I12" i="17"/>
  <c r="J12" i="17"/>
  <c r="K12" i="17"/>
  <c r="L12" i="17"/>
  <c r="M12" i="17"/>
  <c r="N12" i="17"/>
  <c r="O12" i="17"/>
  <c r="P12" i="17"/>
  <c r="Q12" i="17"/>
  <c r="R12" i="17"/>
  <c r="S12" i="17"/>
  <c r="T12" i="17"/>
  <c r="U12" i="17"/>
  <c r="V12" i="17"/>
  <c r="W12" i="17"/>
  <c r="X12" i="17"/>
  <c r="Y12" i="17"/>
  <c r="Z12" i="17"/>
  <c r="AA12" i="17"/>
  <c r="AB12" i="17"/>
  <c r="AC12" i="17"/>
  <c r="AD12" i="17"/>
  <c r="AE12" i="17"/>
  <c r="AF12" i="17"/>
  <c r="C12" i="17"/>
  <c r="AG12" i="17"/>
  <c r="AH7" i="17"/>
  <c r="AH8" i="17"/>
  <c r="AH9" i="17"/>
  <c r="AH10" i="17"/>
  <c r="AH11" i="17"/>
  <c r="AH9" i="4"/>
  <c r="AH10" i="4"/>
  <c r="B12" i="23"/>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H11" i="25"/>
  <c r="AH10" i="25"/>
  <c r="AH9" i="25"/>
  <c r="AH8" i="25"/>
  <c r="AH7" i="25"/>
  <c r="AH4" i="25"/>
  <c r="B1" i="25"/>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H11" i="24"/>
  <c r="AH10" i="24"/>
  <c r="AH9" i="24"/>
  <c r="AH8" i="24"/>
  <c r="AH7" i="24"/>
  <c r="AH4" i="24"/>
  <c r="B1" i="24"/>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AH11" i="23"/>
  <c r="AH10" i="23"/>
  <c r="AH9" i="23"/>
  <c r="AH8" i="23"/>
  <c r="AH7" i="23"/>
  <c r="AH4" i="23"/>
  <c r="B1" i="23"/>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H11" i="22"/>
  <c r="AH10" i="22"/>
  <c r="AH9" i="22"/>
  <c r="AH8" i="22"/>
  <c r="AH7" i="22"/>
  <c r="AH4" i="22"/>
  <c r="B1" i="22"/>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H11" i="21"/>
  <c r="AH10" i="21"/>
  <c r="AH9" i="21"/>
  <c r="AH8" i="21"/>
  <c r="AH7" i="21"/>
  <c r="AH4" i="21"/>
  <c r="B1" i="21"/>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H11" i="20"/>
  <c r="AH10" i="20"/>
  <c r="AH9" i="20"/>
  <c r="AH8" i="20"/>
  <c r="AH7" i="20"/>
  <c r="AH4" i="20"/>
  <c r="B1" i="20"/>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H11" i="19"/>
  <c r="AH10" i="19"/>
  <c r="AH9" i="19"/>
  <c r="AH8" i="19"/>
  <c r="AH7" i="19"/>
  <c r="AH4" i="19"/>
  <c r="B1" i="19"/>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AH11" i="18"/>
  <c r="AH10" i="18"/>
  <c r="AH9" i="18"/>
  <c r="AH8" i="18"/>
  <c r="AH7" i="18"/>
  <c r="AH4" i="18"/>
  <c r="B1" i="18"/>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B12" i="17"/>
  <c r="AH12" i="17"/>
  <c r="AH4" i="17"/>
  <c r="B1" i="17"/>
  <c r="B1" i="15"/>
  <c r="B1" i="5"/>
  <c r="AH12" i="21"/>
  <c r="AH12" i="23"/>
  <c r="AH12" i="18"/>
  <c r="AH12" i="22"/>
  <c r="AH12" i="25"/>
  <c r="AH12" i="20"/>
  <c r="AH12" i="19"/>
  <c r="AH12" i="24"/>
  <c r="AB5" i="5"/>
  <c r="AH4" i="5"/>
  <c r="AH4" i="15"/>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G12" i="15"/>
  <c r="AF12" i="15"/>
  <c r="AH7" i="15"/>
  <c r="AH8" i="15"/>
  <c r="AH9" i="15"/>
  <c r="AH10" i="15"/>
  <c r="AH11" i="15"/>
  <c r="AH12" i="15"/>
  <c r="C12" i="15"/>
  <c r="D12" i="15"/>
  <c r="E12" i="15"/>
  <c r="F12" i="15"/>
  <c r="G12" i="15"/>
  <c r="H12" i="15"/>
  <c r="I12" i="15"/>
  <c r="J12" i="15"/>
  <c r="K12" i="15"/>
  <c r="L12" i="15"/>
  <c r="M12" i="15"/>
  <c r="N12" i="15"/>
  <c r="O12" i="15"/>
  <c r="P12" i="15"/>
  <c r="Q12" i="15"/>
  <c r="R12" i="15"/>
  <c r="S12" i="15"/>
  <c r="T12" i="15"/>
  <c r="U12" i="15"/>
  <c r="V12" i="15"/>
  <c r="W12" i="15"/>
  <c r="X12" i="15"/>
  <c r="Y12" i="15"/>
  <c r="Z12" i="15"/>
  <c r="AA12" i="15"/>
  <c r="AB12" i="15"/>
  <c r="AC12" i="15"/>
  <c r="AD12" i="15"/>
  <c r="AE12" i="15"/>
  <c r="B12" i="15"/>
  <c r="B12" i="5"/>
  <c r="B12" i="4"/>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C5" i="15"/>
  <c r="AH11" i="5"/>
  <c r="AH10" i="5"/>
  <c r="AH9" i="5"/>
  <c r="AH11" i="4"/>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AH8" i="5"/>
  <c r="AH7" i="5"/>
  <c r="AE5" i="5"/>
  <c r="AD5" i="5"/>
  <c r="AC5" i="5"/>
  <c r="AA5" i="5"/>
  <c r="Z5" i="5"/>
  <c r="Y5" i="5"/>
  <c r="X5" i="5"/>
  <c r="W5" i="5"/>
  <c r="V5" i="5"/>
  <c r="U5" i="5"/>
  <c r="T5" i="5"/>
  <c r="S5" i="5"/>
  <c r="R5" i="5"/>
  <c r="Q5" i="5"/>
  <c r="P5" i="5"/>
  <c r="O5" i="5"/>
  <c r="N5" i="5"/>
  <c r="M5" i="5"/>
  <c r="L5" i="5"/>
  <c r="K5" i="5"/>
  <c r="J5" i="5"/>
  <c r="I5" i="5"/>
  <c r="H5" i="5"/>
  <c r="G5" i="5"/>
  <c r="F5" i="5"/>
  <c r="E5" i="5"/>
  <c r="D5" i="5"/>
  <c r="C5" i="5"/>
  <c r="AH12" i="5"/>
  <c r="AH7" i="4"/>
  <c r="AH8" i="4"/>
  <c r="AH12" i="4"/>
  <c r="AE5" i="4"/>
  <c r="AA5" i="4"/>
  <c r="W5" i="4"/>
  <c r="O5" i="4"/>
  <c r="G5" i="4"/>
  <c r="AD5" i="4"/>
  <c r="Z5" i="4"/>
  <c r="R5" i="4"/>
  <c r="N5" i="4"/>
  <c r="F5" i="4"/>
  <c r="M5" i="4"/>
  <c r="AG5" i="4"/>
  <c r="AC5" i="4"/>
  <c r="Y5" i="4"/>
  <c r="S5" i="4"/>
  <c r="K5" i="4"/>
  <c r="E5" i="4"/>
  <c r="AF5" i="4"/>
  <c r="AB5" i="4"/>
  <c r="X5" i="4"/>
  <c r="T5" i="4"/>
  <c r="P5" i="4"/>
  <c r="L5" i="4"/>
  <c r="H5" i="4"/>
  <c r="D5" i="4"/>
  <c r="Q5" i="4"/>
  <c r="I5" i="4"/>
  <c r="C5" i="4"/>
  <c r="V5" i="4"/>
  <c r="J5" i="4"/>
  <c r="U5" i="4"/>
</calcChain>
</file>

<file path=xl/sharedStrings.xml><?xml version="1.0" encoding="utf-8"?>
<sst xmlns="http://schemas.openxmlformats.org/spreadsheetml/2006/main" count="643" uniqueCount="65">
  <si>
    <t>Employee Absence Schedule</t>
  </si>
  <si>
    <t>Absence Type Key</t>
  </si>
  <si>
    <t>January</t>
  </si>
  <si>
    <t>Employee Name</t>
  </si>
  <si>
    <t>Employee 1</t>
  </si>
  <si>
    <t>Employee 2</t>
  </si>
  <si>
    <t>Employee 3</t>
  </si>
  <si>
    <t>Employee 4</t>
  </si>
  <si>
    <t>Employee 5</t>
  </si>
  <si>
    <t>H</t>
  </si>
  <si>
    <t>Dates of Absence</t>
  </si>
  <si>
    <t>1</t>
  </si>
  <si>
    <t>Holiday</t>
  </si>
  <si>
    <t>2</t>
  </si>
  <si>
    <t>3</t>
  </si>
  <si>
    <t>P</t>
  </si>
  <si>
    <t>4</t>
  </si>
  <si>
    <t>S</t>
  </si>
  <si>
    <t>5</t>
  </si>
  <si>
    <t>Personal</t>
  </si>
  <si>
    <t>6</t>
  </si>
  <si>
    <t>7</t>
  </si>
  <si>
    <t>8</t>
  </si>
  <si>
    <t>9</t>
  </si>
  <si>
    <t>Sick</t>
  </si>
  <si>
    <t>10</t>
  </si>
  <si>
    <t>11</t>
  </si>
  <si>
    <t>12</t>
  </si>
  <si>
    <t>Custom 1</t>
  </si>
  <si>
    <t>13</t>
  </si>
  <si>
    <t>14</t>
  </si>
  <si>
    <t>15</t>
  </si>
  <si>
    <t>16</t>
  </si>
  <si>
    <t>Custom 2</t>
  </si>
  <si>
    <t>17</t>
  </si>
  <si>
    <t>18</t>
  </si>
  <si>
    <t>19</t>
  </si>
  <si>
    <t>20</t>
  </si>
  <si>
    <t>21</t>
  </si>
  <si>
    <t>22</t>
  </si>
  <si>
    <t>23</t>
  </si>
  <si>
    <t>24</t>
  </si>
  <si>
    <t>25</t>
  </si>
  <si>
    <t>26</t>
  </si>
  <si>
    <t>27</t>
  </si>
  <si>
    <t>28</t>
  </si>
  <si>
    <t>29</t>
  </si>
  <si>
    <t>30</t>
  </si>
  <si>
    <t>31</t>
  </si>
  <si>
    <t>Enter year:</t>
  </si>
  <si>
    <t>Total Days</t>
  </si>
  <si>
    <t>February</t>
  </si>
  <si>
    <t xml:space="preserve"> </t>
  </si>
  <si>
    <t xml:space="preserve">  </t>
  </si>
  <si>
    <t>March</t>
  </si>
  <si>
    <t>April</t>
  </si>
  <si>
    <t>May</t>
  </si>
  <si>
    <t>June</t>
  </si>
  <si>
    <t>July</t>
  </si>
  <si>
    <t>August</t>
  </si>
  <si>
    <t>September</t>
  </si>
  <si>
    <t>October</t>
  </si>
  <si>
    <t>November</t>
  </si>
  <si>
    <t>December</t>
  </si>
  <si>
    <t>Employee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</si>
</sst>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theme="1"/>
      <name val="Arial"/>
      <family val="2"/>
    </font>
    <font>
      <b/>
      <sz val="26"/>
      <color theme="1"/>
      <name val="Arial"/>
      <family val="2"/>
    </font>
    <font>
      <b/>
      <sz val="11"/>
      <color theme="1"/>
      <name val="Arial"/>
      <family val="2"/>
    </font>
    <font>
      <sz val="11"/>
      <color theme="4" tint="-0.499984740745262"/>
      <name val="Arial"/>
      <family val="2"/>
    </font>
    <font>
      <b/>
      <sz val="18"/>
      <color theme="4" tint="-0.24994659260841701"/>
      <name val="Arial"/>
      <family val="2"/>
    </font>
    <font>
      <b/>
      <sz val="26"/>
      <color theme="3"/>
      <name val="Arial"/>
      <family val="2"/>
    </font>
  </fonts>
  <fills count="21">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s>
  <borders count="1">
    <border>
      <left/>
      <right/>
      <top/>
      <bottom/>
      <diagonal/>
    </border>
  </borders>
  <cellStyleXfs count="28">
    <xf numFmtId="0" fontId="0" fillId="0" borderId="0">
      <alignment horizontal="left" vertical="center"/>
    </xf>
    <xf numFmtId="0" fontId="7" fillId="0" borderId="0" applyNumberFormat="0" applyFill="0" applyBorder="0" applyProtection="0">
      <alignment vertical="top"/>
    </xf>
    <xf numFmtId="0" fontId="5" fillId="0" borderId="0" applyNumberFormat="0" applyFill="0" applyBorder="0" applyProtection="0">
      <alignment vertical="top"/>
    </xf>
    <xf numFmtId="0" fontId="6" fillId="2" borderId="0" applyNumberFormat="0" applyBorder="0" applyProtection="0">
      <alignment horizontal="center" vertical="center"/>
    </xf>
    <xf numFmtId="0" fontId="2" fillId="20" borderId="0" applyNumberFormat="0" applyProtection="0">
      <alignment horizontal="right" vertical="center" indent="1"/>
    </xf>
    <xf numFmtId="0" fontId="3" fillId="0" borderId="0" applyNumberFormat="0" applyFill="0" applyBorder="0" applyProtection="0">
      <alignment horizontal="left" vertical="center" indent="2"/>
    </xf>
    <xf numFmtId="0" fontId="4"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4"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4"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2" fillId="10" borderId="0" applyNumberFormat="0" applyBorder="0" applyAlignment="0" applyProtection="0"/>
    <xf numFmtId="0" fontId="4"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8" fillId="0" borderId="0">
      <alignment horizontal="center"/>
    </xf>
  </cellStyleXfs>
  <cellXfs count="27">
    <xf numFmtId="0" fontId="0" fillId="0" borderId="0" xfId="0">
      <alignment horizontal="left" vertical="center"/>
    </xf>
    <xf numFmtId="0" fontId="9" fillId="0" borderId="0" xfId="0" applyFont="1" applyAlignment="1" applyProtection="1">
      <alignment horizontal="left" vertical="center" wrapText="1"/>
    </xf>
    <xf numFmtId="0" fontId="10" fillId="0" borderId="0" xfId="1" applyFont="1" applyAlignment="1" applyProtection="1">
      <alignment vertical="top"/>
    </xf>
    <xf numFmtId="0" fontId="9" fillId="0" borderId="0" xfId="0" applyFont="1" applyProtection="1">
      <alignment horizontal="left" vertical="center"/>
    </xf>
    <xf numFmtId="0" fontId="9" fillId="0" borderId="0" xfId="0" applyFont="1">
      <alignment horizontal="left" vertical="center"/>
    </xf>
    <xf numFmtId="0" fontId="11" fillId="20" borderId="0" xfId="4" applyFont="1" applyProtection="1">
      <alignment horizontal="right" vertical="center" indent="1"/>
    </xf>
    <xf numFmtId="0" fontId="11" fillId="15" borderId="0" xfId="12" applyFont="1" applyAlignment="1" applyProtection="1">
      <alignment horizontal="center" vertical="center"/>
    </xf>
    <xf numFmtId="0" fontId="11" fillId="10" borderId="0" xfId="19" applyFont="1" applyAlignment="1" applyProtection="1">
      <alignment horizontal="center" vertical="center"/>
    </xf>
    <xf numFmtId="0" fontId="11" fillId="13" borderId="0" xfId="23" applyFont="1" applyAlignment="1" applyProtection="1">
      <alignment horizontal="center" vertical="center"/>
    </xf>
    <xf numFmtId="164" fontId="11" fillId="9" borderId="0" xfId="8" applyNumberFormat="1" applyFont="1" applyAlignment="1" applyProtection="1">
      <alignment horizontal="center" vertical="center"/>
    </xf>
    <xf numFmtId="164" fontId="11" fillId="14" borderId="0" xfId="24" applyNumberFormat="1" applyFont="1" applyAlignment="1" applyProtection="1">
      <alignment horizontal="center" vertical="center"/>
    </xf>
    <xf numFmtId="0" fontId="12" fillId="0" borderId="0" xfId="27" applyFont="1" applyProtection="1">
      <alignment horizontal="center"/>
    </xf>
    <xf numFmtId="0" fontId="13" fillId="2" borderId="0" xfId="3" applyFont="1" applyProtection="1">
      <alignment horizontal="center" vertical="center"/>
    </xf>
    <xf numFmtId="0" fontId="9" fillId="0" borderId="0" xfId="0" applyFont="1" applyAlignment="1" applyProtection="1">
      <alignment horizontal="center" vertical="center"/>
    </xf>
    <xf numFmtId="0" fontId="9" fillId="2" borderId="0" xfId="21" applyFont="1" applyBorder="1" applyAlignment="1" applyProtection="1">
      <alignment horizontal="left" vertical="center" indent="1"/>
    </xf>
    <xf numFmtId="0" fontId="9" fillId="0" borderId="0" xfId="0" applyFont="1" applyFill="1" applyBorder="1" applyAlignment="1" applyProtection="1">
      <alignment horizontal="center" vertical="center"/>
    </xf>
    <xf numFmtId="0" fontId="9" fillId="0" borderId="0" xfId="21" applyFont="1" applyFill="1" applyBorder="1" applyAlignment="1" applyProtection="1">
      <alignment horizontal="center" vertical="center"/>
    </xf>
    <xf numFmtId="0" fontId="9" fillId="0" borderId="0" xfId="26" applyFont="1" applyFill="1" applyBorder="1">
      <alignment horizontal="left" vertical="center" wrapText="1" indent="2"/>
    </xf>
    <xf numFmtId="1" fontId="9" fillId="0" borderId="0" xfId="25" applyFont="1" applyFill="1" applyBorder="1" applyProtection="1">
      <alignment horizontal="center" vertical="center"/>
    </xf>
    <xf numFmtId="0" fontId="9" fillId="0" borderId="0"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0" fontId="14" fillId="0" borderId="0" xfId="1" applyFont="1" applyAlignment="1" applyProtection="1">
      <alignment vertical="top"/>
    </xf>
    <xf numFmtId="0" fontId="9" fillId="0" borderId="0" xfId="26" applyFont="1" applyFill="1" applyBorder="1" applyProtection="1">
      <alignment horizontal="left" vertical="center" wrapText="1" indent="2"/>
    </xf>
    <xf numFmtId="0" fontId="9" fillId="0" borderId="0" xfId="26" applyFont="1">
      <alignment horizontal="left" vertical="center" wrapText="1" indent="2"/>
    </xf>
    <xf numFmtId="0" fontId="10" fillId="0" borderId="0" xfId="1" applyFont="1">
      <alignment vertical="top"/>
    </xf>
    <xf numFmtId="0" fontId="13" fillId="2" borderId="0" xfId="3" applyFont="1" applyProtection="1">
      <alignment horizontal="center" vertical="center"/>
    </xf>
    <xf numFmtId="0" fontId="9" fillId="2" borderId="0" xfId="21" applyFont="1" applyAlignment="1" applyProtection="1">
      <alignment horizontal="left" vertical="center"/>
    </xf>
  </cellXfs>
  <cellStyles count="28">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Label" xfId="27" xr:uid="{00000000-0005-0000-0000-000018000000}"/>
    <cellStyle name="Normal" xfId="0" builtinId="0" customBuiltin="1"/>
    <cellStyle name="Title" xfId="1" builtinId="15" customBuiltin="1"/>
    <cellStyle name="Total" xfId="25" builtinId="25" customBuiltin="1"/>
  </cellStyles>
  <dxfs count="906">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numFmt numFmtId="0" formatCode="General"/>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fill>
        <patternFill patternType="none">
          <fgColor indexed="64"/>
          <bgColor indexed="65"/>
        </patternFill>
      </fill>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0"/>
      </font>
      <border>
        <vertical/>
        <horizontal/>
      </border>
    </dxf>
    <dxf>
      <font>
        <b val="0"/>
        <i val="0"/>
        <color theme="3"/>
      </font>
      <border>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Arial"/>
        <family val="2"/>
        <scheme val="none"/>
      </font>
      <fill>
        <patternFill patternType="none">
          <fgColor indexed="64"/>
          <bgColor indexed="65"/>
        </patternFill>
      </fill>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strike val="0"/>
        <outline val="0"/>
        <shadow val="0"/>
        <u val="none"/>
        <vertAlign val="baseline"/>
        <name val="Arial"/>
        <family val="2"/>
        <scheme val="none"/>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TableStyle="Employee Absence Table" defaultPivotStyle="PivotStyleLight16">
    <tableStyle name="Employee Absence Table" pivot="0" count="13" xr9:uid="{00000000-0011-0000-FFFF-FFFF00000000}">
      <tableStyleElement type="wholeTable" dxfId="905"/>
      <tableStyleElement type="headerRow" dxfId="904"/>
      <tableStyleElement type="totalRow" dxfId="903"/>
      <tableStyleElement type="firstColumn" dxfId="902"/>
      <tableStyleElement type="lastColumn" dxfId="901"/>
      <tableStyleElement type="firstRowStripe" dxfId="900"/>
      <tableStyleElement type="secondRowStripe" dxfId="899"/>
      <tableStyleElement type="firstColumnStripe" dxfId="898"/>
      <tableStyleElement type="secondColumnStripe" dxfId="897"/>
      <tableStyleElement type="firstHeaderCell" dxfId="896"/>
      <tableStyleElement type="lastHeaderCell" dxfId="895"/>
      <tableStyleElement type="firstTotalCell" dxfId="894"/>
      <tableStyleElement type="lastTotalCell" dxfId="89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303696</xdr:colOff>
      <xdr:row>0</xdr:row>
      <xdr:rowOff>101233</xdr:rowOff>
    </xdr:from>
    <xdr:to>
      <xdr:col>34</xdr:col>
      <xdr:colOff>13341</xdr:colOff>
      <xdr:row>0</xdr:row>
      <xdr:rowOff>533768</xdr:rowOff>
    </xdr:to>
    <xdr:pic>
      <xdr:nvPicPr>
        <xdr:cNvPr id="2" name="Picture 1" descr="Payroll Index">
          <a:extLst>
            <a:ext uri="{FF2B5EF4-FFF2-40B4-BE49-F238E27FC236}">
              <a16:creationId xmlns:a16="http://schemas.microsoft.com/office/drawing/2014/main" id="{6FD0AB6C-BD5C-D64A-90FC-4607CFB60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8116" y="101233"/>
          <a:ext cx="2534935" cy="432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6:AH12" totalsRowCount="1" headerRowDxfId="887" dataDxfId="886" totalsRowDxfId="885">
  <autoFilter ref="B6:AH1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Employee Name" totalsRowFunction="custom" dataDxfId="884" totalsRowDxfId="883" dataCellStyle="Employee">
      <totalsRowFormula>MonthName&amp;" Total"</totalsRowFormula>
    </tableColumn>
    <tableColumn id="2" xr3:uid="{00000000-0010-0000-0000-000002000000}" name="1" totalsRowFunction="custom" dataDxfId="882" totalsRowDxfId="881" dataCellStyle="Total">
      <totalsRowFormula>SUBTOTAL(103,January!$C$7:$C$11)</totalsRowFormula>
    </tableColumn>
    <tableColumn id="3" xr3:uid="{00000000-0010-0000-0000-000003000000}" name="2" totalsRowFunction="custom" dataDxfId="880" totalsRowDxfId="879" dataCellStyle="Total">
      <totalsRowFormula>SUBTOTAL(103,January!$D$7:$D$11)</totalsRowFormula>
    </tableColumn>
    <tableColumn id="4" xr3:uid="{00000000-0010-0000-0000-000004000000}" name="3" totalsRowFunction="custom" dataDxfId="878" totalsRowDxfId="877" dataCellStyle="Total">
      <totalsRowFormula>SUBTOTAL(103,January!$E$7:$E$11)</totalsRowFormula>
    </tableColumn>
    <tableColumn id="5" xr3:uid="{00000000-0010-0000-0000-000005000000}" name="4" totalsRowFunction="custom" dataDxfId="876" totalsRowDxfId="875" dataCellStyle="Total">
      <totalsRowFormula>SUBTOTAL(103,January!$F$7:$F$11)</totalsRowFormula>
    </tableColumn>
    <tableColumn id="6" xr3:uid="{00000000-0010-0000-0000-000006000000}" name="5" totalsRowFunction="custom" dataDxfId="874" totalsRowDxfId="873" dataCellStyle="Total">
      <totalsRowFormula>SUBTOTAL(103,January!$G$7:$G$11)</totalsRowFormula>
    </tableColumn>
    <tableColumn id="7" xr3:uid="{00000000-0010-0000-0000-000007000000}" name="6" totalsRowFunction="custom" dataDxfId="872" totalsRowDxfId="871" dataCellStyle="Total">
      <totalsRowFormula>SUBTOTAL(103,January!$H$7:$H$11)</totalsRowFormula>
    </tableColumn>
    <tableColumn id="8" xr3:uid="{00000000-0010-0000-0000-000008000000}" name="7" totalsRowFunction="custom" dataDxfId="870" totalsRowDxfId="869" dataCellStyle="Total">
      <totalsRowFormula>SUBTOTAL(103,January!$I$7:$I$11)</totalsRowFormula>
    </tableColumn>
    <tableColumn id="9" xr3:uid="{00000000-0010-0000-0000-000009000000}" name="8" totalsRowFunction="custom" dataDxfId="868" totalsRowDxfId="867" dataCellStyle="Total">
      <totalsRowFormula>SUBTOTAL(103,January!$J$7:$J$11)</totalsRowFormula>
    </tableColumn>
    <tableColumn id="10" xr3:uid="{00000000-0010-0000-0000-00000A000000}" name="9" totalsRowFunction="custom" dataDxfId="866" totalsRowDxfId="865" dataCellStyle="Total">
      <totalsRowFormula>SUBTOTAL(103,January!$K$7:$K$11)</totalsRowFormula>
    </tableColumn>
    <tableColumn id="11" xr3:uid="{00000000-0010-0000-0000-00000B000000}" name="10" totalsRowFunction="custom" dataDxfId="864" totalsRowDxfId="863" dataCellStyle="Total">
      <totalsRowFormula>SUBTOTAL(103,January!$L$7:$L$11)</totalsRowFormula>
    </tableColumn>
    <tableColumn id="12" xr3:uid="{00000000-0010-0000-0000-00000C000000}" name="11" totalsRowFunction="custom" dataDxfId="862" totalsRowDxfId="861" dataCellStyle="Total">
      <totalsRowFormula>SUBTOTAL(103,January!$M$7:$M$11)</totalsRowFormula>
    </tableColumn>
    <tableColumn id="13" xr3:uid="{00000000-0010-0000-0000-00000D000000}" name="12" totalsRowFunction="custom" dataDxfId="860" totalsRowDxfId="859" dataCellStyle="Total">
      <totalsRowFormula>SUBTOTAL(103,January!$N$7:$N$11)</totalsRowFormula>
    </tableColumn>
    <tableColumn id="14" xr3:uid="{00000000-0010-0000-0000-00000E000000}" name="13" totalsRowFunction="custom" dataDxfId="858" totalsRowDxfId="857" dataCellStyle="Total">
      <totalsRowFormula>SUBTOTAL(103,January!$O$7:$O$11)</totalsRowFormula>
    </tableColumn>
    <tableColumn id="15" xr3:uid="{00000000-0010-0000-0000-00000F000000}" name="14" totalsRowFunction="custom" dataDxfId="856" totalsRowDxfId="855" dataCellStyle="Total">
      <totalsRowFormula>SUBTOTAL(103,January!$P$7:$P$11)</totalsRowFormula>
    </tableColumn>
    <tableColumn id="16" xr3:uid="{00000000-0010-0000-0000-000010000000}" name="15" totalsRowFunction="custom" dataDxfId="854" totalsRowDxfId="853" dataCellStyle="Total">
      <totalsRowFormula>SUBTOTAL(103,January!$Q$7:$Q$11)</totalsRowFormula>
    </tableColumn>
    <tableColumn id="17" xr3:uid="{00000000-0010-0000-0000-000011000000}" name="16" totalsRowFunction="custom" dataDxfId="852" totalsRowDxfId="851" dataCellStyle="Total">
      <totalsRowFormula>SUBTOTAL(103,January!$R$7:$R$11)</totalsRowFormula>
    </tableColumn>
    <tableColumn id="18" xr3:uid="{00000000-0010-0000-0000-000012000000}" name="17" totalsRowFunction="custom" dataDxfId="850" totalsRowDxfId="849" dataCellStyle="Total">
      <totalsRowFormula>SUBTOTAL(103,January!$S$7:$S$11)</totalsRowFormula>
    </tableColumn>
    <tableColumn id="19" xr3:uid="{00000000-0010-0000-0000-000013000000}" name="18" totalsRowFunction="custom" dataDxfId="848" totalsRowDxfId="847" dataCellStyle="Total">
      <totalsRowFormula>SUBTOTAL(103,January!$T$7:$T$11)</totalsRowFormula>
    </tableColumn>
    <tableColumn id="20" xr3:uid="{00000000-0010-0000-0000-000014000000}" name="19" totalsRowFunction="custom" dataDxfId="846" totalsRowDxfId="845" dataCellStyle="Total">
      <totalsRowFormula>SUBTOTAL(103,January!$U$7:$U$11)</totalsRowFormula>
    </tableColumn>
    <tableColumn id="21" xr3:uid="{00000000-0010-0000-0000-000015000000}" name="20" totalsRowFunction="custom" dataDxfId="844" totalsRowDxfId="843" dataCellStyle="Total">
      <totalsRowFormula>SUBTOTAL(103,January!$V$7:$V$11)</totalsRowFormula>
    </tableColumn>
    <tableColumn id="22" xr3:uid="{00000000-0010-0000-0000-000016000000}" name="21" totalsRowFunction="custom" dataDxfId="842" totalsRowDxfId="841" dataCellStyle="Total">
      <totalsRowFormula>SUBTOTAL(103,January!$W$7:$W$11)</totalsRowFormula>
    </tableColumn>
    <tableColumn id="23" xr3:uid="{00000000-0010-0000-0000-000017000000}" name="22" totalsRowFunction="custom" dataDxfId="840" totalsRowDxfId="839" dataCellStyle="Total">
      <totalsRowFormula>SUBTOTAL(103,January!$X$7:$X$11)</totalsRowFormula>
    </tableColumn>
    <tableColumn id="24" xr3:uid="{00000000-0010-0000-0000-000018000000}" name="23" totalsRowFunction="custom" dataDxfId="838" totalsRowDxfId="837" dataCellStyle="Total">
      <totalsRowFormula>SUBTOTAL(103,January!$Y$7:$Y$11)</totalsRowFormula>
    </tableColumn>
    <tableColumn id="25" xr3:uid="{00000000-0010-0000-0000-000019000000}" name="24" totalsRowFunction="custom" dataDxfId="836" totalsRowDxfId="835" dataCellStyle="Total">
      <totalsRowFormula>SUBTOTAL(103,January!$Z$7:$Z$11)</totalsRowFormula>
    </tableColumn>
    <tableColumn id="26" xr3:uid="{00000000-0010-0000-0000-00001A000000}" name="25" totalsRowFunction="custom" dataDxfId="834" totalsRowDxfId="833" dataCellStyle="Total">
      <totalsRowFormula>SUBTOTAL(103,January!$AA$7:$AA$11)</totalsRowFormula>
    </tableColumn>
    <tableColumn id="27" xr3:uid="{00000000-0010-0000-0000-00001B000000}" name="26" totalsRowFunction="custom" dataDxfId="832" totalsRowDxfId="831" dataCellStyle="Total">
      <totalsRowFormula>SUBTOTAL(103,January!$AB$7:$AB$11)</totalsRowFormula>
    </tableColumn>
    <tableColumn id="28" xr3:uid="{00000000-0010-0000-0000-00001C000000}" name="27" totalsRowFunction="custom" dataDxfId="830" totalsRowDxfId="829" dataCellStyle="Total">
      <totalsRowFormula>SUBTOTAL(103,January!$AC$7:$AC$11)</totalsRowFormula>
    </tableColumn>
    <tableColumn id="29" xr3:uid="{00000000-0010-0000-0000-00001D000000}" name="28" totalsRowFunction="custom" dataDxfId="828" totalsRowDxfId="827" dataCellStyle="Total">
      <totalsRowFormula>SUBTOTAL(103,January!$AD$7:$AD$11)</totalsRowFormula>
    </tableColumn>
    <tableColumn id="30" xr3:uid="{00000000-0010-0000-0000-00001E000000}" name="29" totalsRowFunction="custom" dataDxfId="826" totalsRowDxfId="825" dataCellStyle="Total">
      <totalsRowFormula>SUBTOTAL(103,January!$AE$7:$AE$11)</totalsRowFormula>
    </tableColumn>
    <tableColumn id="31" xr3:uid="{00000000-0010-0000-0000-00001F000000}" name="30" totalsRowFunction="custom" dataDxfId="824" totalsRowDxfId="823" dataCellStyle="Total">
      <totalsRowFormula>SUBTOTAL(103,January!$AF$7:$AF$11)</totalsRowFormula>
    </tableColumn>
    <tableColumn id="32" xr3:uid="{00000000-0010-0000-0000-000020000000}" name="31" totalsRowFunction="custom" dataDxfId="822" totalsRowDxfId="821" dataCellStyle="Total">
      <totalsRowFormula>SUBTOTAL(103,January!$AG$7:$AG$11)</totalsRowFormula>
    </tableColumn>
    <tableColumn id="33" xr3:uid="{00000000-0010-0000-0000-000021000000}" name="Total Days" totalsRowFunction="sum" dataDxfId="820" totalsRowDxfId="819" dataCellStyle="Total">
      <calculatedColumnFormula>COUNTA(January!$C7:$AG7)</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6:AH12" totalsRowCount="1" headerRowDxfId="811" dataDxfId="810" totalsRowDxfId="809">
  <tableColumns count="33">
    <tableColumn id="1" xr3:uid="{00000000-0010-0000-0100-000001000000}" name="Employee Name" totalsRowFunction="custom" dataDxfId="808" totalsRowDxfId="807" dataCellStyle="Employee">
      <totalsRowFormula>MonthName&amp;" Total"</totalsRowFormula>
    </tableColumn>
    <tableColumn id="2" xr3:uid="{00000000-0010-0000-0100-000002000000}" name="1" totalsRowFunction="count" dataDxfId="806" totalsRowDxfId="805" dataCellStyle="Total"/>
    <tableColumn id="3" xr3:uid="{00000000-0010-0000-0100-000003000000}" name="2" totalsRowFunction="count" dataDxfId="804" totalsRowDxfId="803" dataCellStyle="Total"/>
    <tableColumn id="4" xr3:uid="{00000000-0010-0000-0100-000004000000}" name="3" totalsRowFunction="count" dataDxfId="802" totalsRowDxfId="801" dataCellStyle="Total"/>
    <tableColumn id="5" xr3:uid="{00000000-0010-0000-0100-000005000000}" name="4" totalsRowFunction="count" dataDxfId="800" totalsRowDxfId="799" dataCellStyle="Total"/>
    <tableColumn id="6" xr3:uid="{00000000-0010-0000-0100-000006000000}" name="5" totalsRowFunction="count" dataDxfId="798" totalsRowDxfId="797" dataCellStyle="Total"/>
    <tableColumn id="7" xr3:uid="{00000000-0010-0000-0100-000007000000}" name="6" totalsRowFunction="count" dataDxfId="796" totalsRowDxfId="795" dataCellStyle="Total"/>
    <tableColumn id="8" xr3:uid="{00000000-0010-0000-0100-000008000000}" name="7" totalsRowFunction="count" dataDxfId="794" totalsRowDxfId="793" dataCellStyle="Total"/>
    <tableColumn id="9" xr3:uid="{00000000-0010-0000-0100-000009000000}" name="8" totalsRowFunction="count" dataDxfId="792" totalsRowDxfId="791" dataCellStyle="Total"/>
    <tableColumn id="10" xr3:uid="{00000000-0010-0000-0100-00000A000000}" name="9" totalsRowFunction="count" dataDxfId="790" totalsRowDxfId="789" dataCellStyle="Total"/>
    <tableColumn id="11" xr3:uid="{00000000-0010-0000-0100-00000B000000}" name="10" totalsRowFunction="count" dataDxfId="788" totalsRowDxfId="787" dataCellStyle="Total"/>
    <tableColumn id="12" xr3:uid="{00000000-0010-0000-0100-00000C000000}" name="11" totalsRowFunction="count" dataDxfId="786" totalsRowDxfId="785" dataCellStyle="Total"/>
    <tableColumn id="13" xr3:uid="{00000000-0010-0000-0100-00000D000000}" name="12" totalsRowFunction="count" dataDxfId="784" totalsRowDxfId="783" dataCellStyle="Total"/>
    <tableColumn id="14" xr3:uid="{00000000-0010-0000-0100-00000E000000}" name="13" totalsRowFunction="count" dataDxfId="782" totalsRowDxfId="781" dataCellStyle="Total"/>
    <tableColumn id="15" xr3:uid="{00000000-0010-0000-0100-00000F000000}" name="14" totalsRowFunction="count" dataDxfId="780" totalsRowDxfId="779" dataCellStyle="Total"/>
    <tableColumn id="16" xr3:uid="{00000000-0010-0000-0100-000010000000}" name="15" totalsRowFunction="count" dataDxfId="778" totalsRowDxfId="777" dataCellStyle="Total"/>
    <tableColumn id="17" xr3:uid="{00000000-0010-0000-0100-000011000000}" name="16" totalsRowFunction="count" dataDxfId="776" totalsRowDxfId="775" dataCellStyle="Total"/>
    <tableColumn id="18" xr3:uid="{00000000-0010-0000-0100-000012000000}" name="17" totalsRowFunction="count" dataDxfId="774" totalsRowDxfId="773" dataCellStyle="Total"/>
    <tableColumn id="19" xr3:uid="{00000000-0010-0000-0100-000013000000}" name="18" totalsRowFunction="count" dataDxfId="772" totalsRowDxfId="771" dataCellStyle="Total"/>
    <tableColumn id="20" xr3:uid="{00000000-0010-0000-0100-000014000000}" name="19" totalsRowFunction="count" dataDxfId="770" totalsRowDxfId="769" dataCellStyle="Total"/>
    <tableColumn id="21" xr3:uid="{00000000-0010-0000-0100-000015000000}" name="20" totalsRowFunction="count" dataDxfId="768" totalsRowDxfId="767" dataCellStyle="Total"/>
    <tableColumn id="22" xr3:uid="{00000000-0010-0000-0100-000016000000}" name="21" totalsRowFunction="count" dataDxfId="766" totalsRowDxfId="765" dataCellStyle="Total"/>
    <tableColumn id="23" xr3:uid="{00000000-0010-0000-0100-000017000000}" name="22" totalsRowFunction="count" dataDxfId="764" totalsRowDxfId="763" dataCellStyle="Total"/>
    <tableColumn id="24" xr3:uid="{00000000-0010-0000-0100-000018000000}" name="23" totalsRowFunction="count" dataDxfId="762" totalsRowDxfId="761" dataCellStyle="Total"/>
    <tableColumn id="25" xr3:uid="{00000000-0010-0000-0100-000019000000}" name="24" totalsRowFunction="count" dataDxfId="760" totalsRowDxfId="759" dataCellStyle="Total"/>
    <tableColumn id="26" xr3:uid="{00000000-0010-0000-0100-00001A000000}" name="25" totalsRowFunction="count" dataDxfId="758" totalsRowDxfId="757" dataCellStyle="Total"/>
    <tableColumn id="27" xr3:uid="{00000000-0010-0000-0100-00001B000000}" name="26" totalsRowFunction="count" dataDxfId="756" totalsRowDxfId="755" dataCellStyle="Total"/>
    <tableColumn id="28" xr3:uid="{00000000-0010-0000-0100-00001C000000}" name="27" totalsRowFunction="count" dataDxfId="754" totalsRowDxfId="753" dataCellStyle="Total"/>
    <tableColumn id="29" xr3:uid="{00000000-0010-0000-0100-00001D000000}" name="28" totalsRowFunction="count" dataDxfId="752" totalsRowDxfId="751" dataCellStyle="Total"/>
    <tableColumn id="30" xr3:uid="{00000000-0010-0000-0100-00001E000000}" name="29" totalsRowFunction="count" dataDxfId="750" totalsRowDxfId="749" dataCellStyle="Total"/>
    <tableColumn id="31" xr3:uid="{00000000-0010-0000-0100-00001F000000}" name=" " dataDxfId="748" totalsRowDxfId="747" dataCellStyle="Total"/>
    <tableColumn id="32" xr3:uid="{00000000-0010-0000-0100-000020000000}" name="  " dataDxfId="746" totalsRowDxfId="745" dataCellStyle="Total"/>
    <tableColumn id="33" xr3:uid="{00000000-0010-0000-0100-000021000000}" name="Total Days" totalsRowFunction="sum" dataDxfId="744" totalsRowDxfId="743" dataCellStyle="Total">
      <calculatedColumnFormula>COUNTA(February[[#This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6:AH12" totalsRowCount="1" headerRowDxfId="737" dataDxfId="736" totalsRowDxfId="735">
  <tableColumns count="33">
    <tableColumn id="1" xr3:uid="{00000000-0010-0000-0200-000001000000}" name="Employee Name" totalsRowFunction="custom" dataDxfId="734" totalsRowDxfId="733" dataCellStyle="Employee">
      <totalsRowFormula>MonthName&amp;" Total"</totalsRowFormula>
    </tableColumn>
    <tableColumn id="2" xr3:uid="{00000000-0010-0000-0200-000002000000}" name="1" totalsRowFunction="count" dataDxfId="732" totalsRowDxfId="731"/>
    <tableColumn id="3" xr3:uid="{00000000-0010-0000-0200-000003000000}" name="2" totalsRowFunction="count" dataDxfId="730" totalsRowDxfId="729"/>
    <tableColumn id="4" xr3:uid="{00000000-0010-0000-0200-000004000000}" name="3" totalsRowFunction="count" dataDxfId="728" totalsRowDxfId="727"/>
    <tableColumn id="5" xr3:uid="{00000000-0010-0000-0200-000005000000}" name="4" totalsRowFunction="count" dataDxfId="726" totalsRowDxfId="725"/>
    <tableColumn id="6" xr3:uid="{00000000-0010-0000-0200-000006000000}" name="5" totalsRowFunction="count" dataDxfId="724" totalsRowDxfId="723"/>
    <tableColumn id="7" xr3:uid="{00000000-0010-0000-0200-000007000000}" name="6" totalsRowFunction="count" dataDxfId="722" totalsRowDxfId="721"/>
    <tableColumn id="8" xr3:uid="{00000000-0010-0000-0200-000008000000}" name="7" totalsRowFunction="count" dataDxfId="720" totalsRowDxfId="719"/>
    <tableColumn id="9" xr3:uid="{00000000-0010-0000-0200-000009000000}" name="8" totalsRowFunction="count" dataDxfId="718" totalsRowDxfId="717"/>
    <tableColumn id="10" xr3:uid="{00000000-0010-0000-0200-00000A000000}" name="9" totalsRowFunction="count" dataDxfId="716" totalsRowDxfId="715"/>
    <tableColumn id="11" xr3:uid="{00000000-0010-0000-0200-00000B000000}" name="10" totalsRowFunction="count" dataDxfId="714" totalsRowDxfId="713"/>
    <tableColumn id="12" xr3:uid="{00000000-0010-0000-0200-00000C000000}" name="11" totalsRowFunction="count" dataDxfId="712" totalsRowDxfId="711"/>
    <tableColumn id="13" xr3:uid="{00000000-0010-0000-0200-00000D000000}" name="12" totalsRowFunction="count" dataDxfId="710" totalsRowDxfId="709"/>
    <tableColumn id="14" xr3:uid="{00000000-0010-0000-0200-00000E000000}" name="13" totalsRowFunction="count" dataDxfId="708" totalsRowDxfId="707"/>
    <tableColumn id="15" xr3:uid="{00000000-0010-0000-0200-00000F000000}" name="14" totalsRowFunction="count" dataDxfId="706" totalsRowDxfId="705"/>
    <tableColumn id="16" xr3:uid="{00000000-0010-0000-0200-000010000000}" name="15" totalsRowFunction="count" dataDxfId="704" totalsRowDxfId="703"/>
    <tableColumn id="17" xr3:uid="{00000000-0010-0000-0200-000011000000}" name="16" totalsRowFunction="count" dataDxfId="702" totalsRowDxfId="701"/>
    <tableColumn id="18" xr3:uid="{00000000-0010-0000-0200-000012000000}" name="17" totalsRowFunction="count" dataDxfId="700" totalsRowDxfId="699"/>
    <tableColumn id="19" xr3:uid="{00000000-0010-0000-0200-000013000000}" name="18" totalsRowFunction="count" dataDxfId="698" totalsRowDxfId="697"/>
    <tableColumn id="20" xr3:uid="{00000000-0010-0000-0200-000014000000}" name="19" totalsRowFunction="count" dataDxfId="696" totalsRowDxfId="695"/>
    <tableColumn id="21" xr3:uid="{00000000-0010-0000-0200-000015000000}" name="20" totalsRowFunction="count" dataDxfId="694" totalsRowDxfId="693"/>
    <tableColumn id="22" xr3:uid="{00000000-0010-0000-0200-000016000000}" name="21" totalsRowFunction="count" dataDxfId="692" totalsRowDxfId="691"/>
    <tableColumn id="23" xr3:uid="{00000000-0010-0000-0200-000017000000}" name="22" totalsRowFunction="count" dataDxfId="690" totalsRowDxfId="689"/>
    <tableColumn id="24" xr3:uid="{00000000-0010-0000-0200-000018000000}" name="23" totalsRowFunction="count" dataDxfId="688" totalsRowDxfId="687"/>
    <tableColumn id="25" xr3:uid="{00000000-0010-0000-0200-000019000000}" name="24" totalsRowFunction="count" dataDxfId="686" totalsRowDxfId="685"/>
    <tableColumn id="26" xr3:uid="{00000000-0010-0000-0200-00001A000000}" name="25" totalsRowFunction="count" dataDxfId="684" totalsRowDxfId="683"/>
    <tableColumn id="27" xr3:uid="{00000000-0010-0000-0200-00001B000000}" name="26" totalsRowFunction="count" dataDxfId="682" totalsRowDxfId="681"/>
    <tableColumn id="28" xr3:uid="{00000000-0010-0000-0200-00001C000000}" name="27" totalsRowFunction="count" dataDxfId="680" totalsRowDxfId="679"/>
    <tableColumn id="29" xr3:uid="{00000000-0010-0000-0200-00001D000000}" name="28" totalsRowFunction="count" dataDxfId="678" totalsRowDxfId="677"/>
    <tableColumn id="30" xr3:uid="{00000000-0010-0000-0200-00001E000000}" name="29" totalsRowFunction="count" dataDxfId="676" totalsRowDxfId="675"/>
    <tableColumn id="31" xr3:uid="{00000000-0010-0000-0200-00001F000000}" name="30" totalsRowFunction="count" dataDxfId="674" totalsRowDxfId="673"/>
    <tableColumn id="32" xr3:uid="{00000000-0010-0000-0200-000020000000}" name="31" totalsRowFunction="sum" dataDxfId="672" totalsRowDxfId="671" dataCellStyle="Total"/>
    <tableColumn id="33" xr3:uid="{00000000-0010-0000-0200-000021000000}" name="Total Days" totalsRowFunction="sum" dataDxfId="670" totalsRowDxfId="669" dataCellStyle="Total">
      <calculatedColumnFormula>COUNTA(March[[#This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April" displayName="April" ref="B6:AH12" totalsRowCount="1" headerRowDxfId="663" dataDxfId="662" totalsRowDxfId="661">
  <tableColumns count="33">
    <tableColumn id="1" xr3:uid="{00000000-0010-0000-0300-000001000000}" name="Employee Name" totalsRowFunction="custom" dataDxfId="660" totalsRowDxfId="659" dataCellStyle="Employee">
      <totalsRowFormula>MonthName&amp;" Total"</totalsRowFormula>
    </tableColumn>
    <tableColumn id="2" xr3:uid="{00000000-0010-0000-0300-000002000000}" name="1" totalsRowFunction="count" dataDxfId="658" totalsRowDxfId="657"/>
    <tableColumn id="3" xr3:uid="{00000000-0010-0000-0300-000003000000}" name="2" totalsRowFunction="count" dataDxfId="656" totalsRowDxfId="655"/>
    <tableColumn id="4" xr3:uid="{00000000-0010-0000-0300-000004000000}" name="3" totalsRowFunction="count" dataDxfId="654" totalsRowDxfId="653"/>
    <tableColumn id="5" xr3:uid="{00000000-0010-0000-0300-000005000000}" name="4" totalsRowFunction="count" dataDxfId="652" totalsRowDxfId="651"/>
    <tableColumn id="6" xr3:uid="{00000000-0010-0000-0300-000006000000}" name="5" totalsRowFunction="count" dataDxfId="650" totalsRowDxfId="649"/>
    <tableColumn id="7" xr3:uid="{00000000-0010-0000-0300-000007000000}" name="6" totalsRowFunction="count" dataDxfId="648" totalsRowDxfId="647"/>
    <tableColumn id="8" xr3:uid="{00000000-0010-0000-0300-000008000000}" name="7" totalsRowFunction="count" dataDxfId="646" totalsRowDxfId="645"/>
    <tableColumn id="9" xr3:uid="{00000000-0010-0000-0300-000009000000}" name="8" totalsRowFunction="count" dataDxfId="644" totalsRowDxfId="643"/>
    <tableColumn id="10" xr3:uid="{00000000-0010-0000-0300-00000A000000}" name="9" totalsRowFunction="count" dataDxfId="642" totalsRowDxfId="641"/>
    <tableColumn id="11" xr3:uid="{00000000-0010-0000-0300-00000B000000}" name="10" totalsRowFunction="count" dataDxfId="640" totalsRowDxfId="639"/>
    <tableColumn id="12" xr3:uid="{00000000-0010-0000-0300-00000C000000}" name="11" totalsRowFunction="count" dataDxfId="638" totalsRowDxfId="637"/>
    <tableColumn id="13" xr3:uid="{00000000-0010-0000-0300-00000D000000}" name="12" totalsRowFunction="count" dataDxfId="636" totalsRowDxfId="635"/>
    <tableColumn id="14" xr3:uid="{00000000-0010-0000-0300-00000E000000}" name="13" totalsRowFunction="count" dataDxfId="634" totalsRowDxfId="633"/>
    <tableColumn id="15" xr3:uid="{00000000-0010-0000-0300-00000F000000}" name="14" totalsRowFunction="count" dataDxfId="632" totalsRowDxfId="631"/>
    <tableColumn id="16" xr3:uid="{00000000-0010-0000-0300-000010000000}" name="15" totalsRowFunction="count" dataDxfId="630" totalsRowDxfId="629"/>
    <tableColumn id="17" xr3:uid="{00000000-0010-0000-0300-000011000000}" name="16" totalsRowFunction="count" dataDxfId="628" totalsRowDxfId="627"/>
    <tableColumn id="18" xr3:uid="{00000000-0010-0000-0300-000012000000}" name="17" totalsRowFunction="count" dataDxfId="626" totalsRowDxfId="625"/>
    <tableColumn id="19" xr3:uid="{00000000-0010-0000-0300-000013000000}" name="18" totalsRowFunction="count" dataDxfId="624" totalsRowDxfId="623"/>
    <tableColumn id="20" xr3:uid="{00000000-0010-0000-0300-000014000000}" name="19" totalsRowFunction="count" dataDxfId="622" totalsRowDxfId="621"/>
    <tableColumn id="21" xr3:uid="{00000000-0010-0000-0300-000015000000}" name="20" totalsRowFunction="count" dataDxfId="620" totalsRowDxfId="619"/>
    <tableColumn id="22" xr3:uid="{00000000-0010-0000-0300-000016000000}" name="21" totalsRowFunction="count" dataDxfId="618" totalsRowDxfId="617"/>
    <tableColumn id="23" xr3:uid="{00000000-0010-0000-0300-000017000000}" name="22" totalsRowFunction="count" dataDxfId="616" totalsRowDxfId="615"/>
    <tableColumn id="24" xr3:uid="{00000000-0010-0000-0300-000018000000}" name="23" totalsRowFunction="count" dataDxfId="614" totalsRowDxfId="613"/>
    <tableColumn id="25" xr3:uid="{00000000-0010-0000-0300-000019000000}" name="24" totalsRowFunction="count" dataDxfId="612" totalsRowDxfId="611"/>
    <tableColumn id="26" xr3:uid="{00000000-0010-0000-0300-00001A000000}" name="25" totalsRowFunction="count" dataDxfId="610" totalsRowDxfId="609"/>
    <tableColumn id="27" xr3:uid="{00000000-0010-0000-0300-00001B000000}" name="26" totalsRowFunction="count" dataDxfId="608" totalsRowDxfId="607"/>
    <tableColumn id="28" xr3:uid="{00000000-0010-0000-0300-00001C000000}" name="27" totalsRowFunction="count" dataDxfId="606" totalsRowDxfId="605"/>
    <tableColumn id="29" xr3:uid="{00000000-0010-0000-0300-00001D000000}" name="28" totalsRowFunction="count" dataDxfId="604" totalsRowDxfId="603"/>
    <tableColumn id="30" xr3:uid="{00000000-0010-0000-0300-00001E000000}" name="29" totalsRowFunction="count" dataDxfId="602" totalsRowDxfId="601"/>
    <tableColumn id="31" xr3:uid="{00000000-0010-0000-0300-00001F000000}" name="30" totalsRowFunction="sum" dataDxfId="600" totalsRowDxfId="599"/>
    <tableColumn id="32" xr3:uid="{00000000-0010-0000-0300-000020000000}" name="31" totalsRowFunction="sum" dataDxfId="598" totalsRowDxfId="597" dataCellStyle="Total"/>
    <tableColumn id="33" xr3:uid="{00000000-0010-0000-0300-000021000000}" name="Total Days" totalsRowFunction="sum" dataDxfId="596" totalsRowDxfId="595" dataCellStyle="Total">
      <calculatedColumnFormula>COUNTA(April[[#This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May" displayName="May" ref="B6:AH12" totalsRowCount="1" headerRowDxfId="589" dataDxfId="588" totalsRowDxfId="587">
  <tableColumns count="33">
    <tableColumn id="1" xr3:uid="{00000000-0010-0000-0400-000001000000}" name="Employee Name" totalsRowFunction="custom" dataDxfId="586" totalsRowDxfId="585" dataCellStyle="Employee">
      <totalsRowFormula>MonthName&amp;" Total"</totalsRowFormula>
    </tableColumn>
    <tableColumn id="2" xr3:uid="{00000000-0010-0000-0400-000002000000}" name="1" totalsRowFunction="count" dataDxfId="584" totalsRowDxfId="583"/>
    <tableColumn id="3" xr3:uid="{00000000-0010-0000-0400-000003000000}" name="2" totalsRowFunction="count" dataDxfId="582" totalsRowDxfId="581"/>
    <tableColumn id="4" xr3:uid="{00000000-0010-0000-0400-000004000000}" name="3" totalsRowFunction="count" dataDxfId="580" totalsRowDxfId="579"/>
    <tableColumn id="5" xr3:uid="{00000000-0010-0000-0400-000005000000}" name="4" totalsRowFunction="count" dataDxfId="578" totalsRowDxfId="577"/>
    <tableColumn id="6" xr3:uid="{00000000-0010-0000-0400-000006000000}" name="5" totalsRowFunction="count" dataDxfId="576" totalsRowDxfId="575"/>
    <tableColumn id="7" xr3:uid="{00000000-0010-0000-0400-000007000000}" name="6" totalsRowFunction="count" dataDxfId="574" totalsRowDxfId="573"/>
    <tableColumn id="8" xr3:uid="{00000000-0010-0000-0400-000008000000}" name="7" totalsRowFunction="count" dataDxfId="572" totalsRowDxfId="571"/>
    <tableColumn id="9" xr3:uid="{00000000-0010-0000-0400-000009000000}" name="8" totalsRowFunction="count" dataDxfId="570" totalsRowDxfId="569"/>
    <tableColumn id="10" xr3:uid="{00000000-0010-0000-0400-00000A000000}" name="9" totalsRowFunction="count" dataDxfId="568" totalsRowDxfId="567"/>
    <tableColumn id="11" xr3:uid="{00000000-0010-0000-0400-00000B000000}" name="10" totalsRowFunction="count" dataDxfId="566" totalsRowDxfId="565"/>
    <tableColumn id="12" xr3:uid="{00000000-0010-0000-0400-00000C000000}" name="11" totalsRowFunction="count" dataDxfId="564" totalsRowDxfId="563"/>
    <tableColumn id="13" xr3:uid="{00000000-0010-0000-0400-00000D000000}" name="12" totalsRowFunction="count" dataDxfId="562" totalsRowDxfId="561"/>
    <tableColumn id="14" xr3:uid="{00000000-0010-0000-0400-00000E000000}" name="13" totalsRowFunction="count" dataDxfId="560" totalsRowDxfId="559"/>
    <tableColumn id="15" xr3:uid="{00000000-0010-0000-0400-00000F000000}" name="14" totalsRowFunction="count" dataDxfId="558" totalsRowDxfId="557"/>
    <tableColumn id="16" xr3:uid="{00000000-0010-0000-0400-000010000000}" name="15" totalsRowFunction="count" dataDxfId="556" totalsRowDxfId="555"/>
    <tableColumn id="17" xr3:uid="{00000000-0010-0000-0400-000011000000}" name="16" totalsRowFunction="count" dataDxfId="554" totalsRowDxfId="553"/>
    <tableColumn id="18" xr3:uid="{00000000-0010-0000-0400-000012000000}" name="17" totalsRowFunction="count" dataDxfId="552" totalsRowDxfId="551"/>
    <tableColumn id="19" xr3:uid="{00000000-0010-0000-0400-000013000000}" name="18" totalsRowFunction="count" dataDxfId="550" totalsRowDxfId="549"/>
    <tableColumn id="20" xr3:uid="{00000000-0010-0000-0400-000014000000}" name="19" totalsRowFunction="count" dataDxfId="548" totalsRowDxfId="547"/>
    <tableColumn id="21" xr3:uid="{00000000-0010-0000-0400-000015000000}" name="20" totalsRowFunction="count" dataDxfId="546" totalsRowDxfId="545"/>
    <tableColumn id="22" xr3:uid="{00000000-0010-0000-0400-000016000000}" name="21" totalsRowFunction="count" dataDxfId="544" totalsRowDxfId="543"/>
    <tableColumn id="23" xr3:uid="{00000000-0010-0000-0400-000017000000}" name="22" totalsRowFunction="count" dataDxfId="542" totalsRowDxfId="541"/>
    <tableColumn id="24" xr3:uid="{00000000-0010-0000-0400-000018000000}" name="23" totalsRowFunction="count" dataDxfId="540" totalsRowDxfId="539"/>
    <tableColumn id="25" xr3:uid="{00000000-0010-0000-0400-000019000000}" name="24" totalsRowFunction="count" dataDxfId="538" totalsRowDxfId="537"/>
    <tableColumn id="26" xr3:uid="{00000000-0010-0000-0400-00001A000000}" name="25" totalsRowFunction="count" dataDxfId="536" totalsRowDxfId="535"/>
    <tableColumn id="27" xr3:uid="{00000000-0010-0000-0400-00001B000000}" name="26" totalsRowFunction="count" dataDxfId="534" totalsRowDxfId="533"/>
    <tableColumn id="28" xr3:uid="{00000000-0010-0000-0400-00001C000000}" name="27" totalsRowFunction="count" dataDxfId="532" totalsRowDxfId="531"/>
    <tableColumn id="29" xr3:uid="{00000000-0010-0000-0400-00001D000000}" name="28" totalsRowFunction="count" dataDxfId="530" totalsRowDxfId="529"/>
    <tableColumn id="30" xr3:uid="{00000000-0010-0000-0400-00001E000000}" name="29" totalsRowFunction="count" dataDxfId="528" totalsRowDxfId="527"/>
    <tableColumn id="31" xr3:uid="{00000000-0010-0000-0400-00001F000000}" name="30" totalsRowFunction="sum" dataDxfId="526" totalsRowDxfId="525"/>
    <tableColumn id="32" xr3:uid="{00000000-0010-0000-0400-000020000000}" name="31" totalsRowFunction="sum" dataDxfId="524" totalsRowDxfId="523" dataCellStyle="Total"/>
    <tableColumn id="33" xr3:uid="{00000000-0010-0000-0400-000021000000}" name="Total Days" totalsRowFunction="sum" dataDxfId="522" totalsRowDxfId="521" dataCellStyle="Total">
      <calculatedColumnFormula>COUNTA(May[[#This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6:AH12" totalsRowCount="1" headerRowDxfId="515" dataDxfId="514" totalsRowDxfId="513">
  <tableColumns count="33">
    <tableColumn id="1" xr3:uid="{00000000-0010-0000-0500-000001000000}" name="Employee Name" totalsRowFunction="custom" dataDxfId="512" totalsRowDxfId="511" dataCellStyle="Employee">
      <totalsRowFormula>MonthName&amp;" Total"</totalsRowFormula>
    </tableColumn>
    <tableColumn id="2" xr3:uid="{00000000-0010-0000-0500-000002000000}" name="1" totalsRowFunction="count" dataDxfId="510" totalsRowDxfId="509"/>
    <tableColumn id="3" xr3:uid="{00000000-0010-0000-0500-000003000000}" name="2" totalsRowFunction="count" dataDxfId="508" totalsRowDxfId="507"/>
    <tableColumn id="4" xr3:uid="{00000000-0010-0000-0500-000004000000}" name="3" totalsRowFunction="count" dataDxfId="506" totalsRowDxfId="505"/>
    <tableColumn id="5" xr3:uid="{00000000-0010-0000-0500-000005000000}" name="4" totalsRowFunction="count" dataDxfId="504" totalsRowDxfId="503"/>
    <tableColumn id="6" xr3:uid="{00000000-0010-0000-0500-000006000000}" name="5" totalsRowFunction="count" dataDxfId="502" totalsRowDxfId="501"/>
    <tableColumn id="7" xr3:uid="{00000000-0010-0000-0500-000007000000}" name="6" totalsRowFunction="count" dataDxfId="500" totalsRowDxfId="499"/>
    <tableColumn id="8" xr3:uid="{00000000-0010-0000-0500-000008000000}" name="7" totalsRowFunction="count" dataDxfId="498" totalsRowDxfId="497"/>
    <tableColumn id="9" xr3:uid="{00000000-0010-0000-0500-000009000000}" name="8" totalsRowFunction="count" dataDxfId="496" totalsRowDxfId="495"/>
    <tableColumn id="10" xr3:uid="{00000000-0010-0000-0500-00000A000000}" name="9" totalsRowFunction="count" dataDxfId="494" totalsRowDxfId="493"/>
    <tableColumn id="11" xr3:uid="{00000000-0010-0000-0500-00000B000000}" name="10" totalsRowFunction="count" dataDxfId="492" totalsRowDxfId="491"/>
    <tableColumn id="12" xr3:uid="{00000000-0010-0000-0500-00000C000000}" name="11" totalsRowFunction="count" dataDxfId="490" totalsRowDxfId="489"/>
    <tableColumn id="13" xr3:uid="{00000000-0010-0000-0500-00000D000000}" name="12" totalsRowFunction="count" dataDxfId="488" totalsRowDxfId="487"/>
    <tableColumn id="14" xr3:uid="{00000000-0010-0000-0500-00000E000000}" name="13" totalsRowFunction="count" dataDxfId="486" totalsRowDxfId="485"/>
    <tableColumn id="15" xr3:uid="{00000000-0010-0000-0500-00000F000000}" name="14" totalsRowFunction="count" dataDxfId="484" totalsRowDxfId="483"/>
    <tableColumn id="16" xr3:uid="{00000000-0010-0000-0500-000010000000}" name="15" totalsRowFunction="count" dataDxfId="482" totalsRowDxfId="481"/>
    <tableColumn id="17" xr3:uid="{00000000-0010-0000-0500-000011000000}" name="16" totalsRowFunction="count" dataDxfId="480" totalsRowDxfId="479"/>
    <tableColumn id="18" xr3:uid="{00000000-0010-0000-0500-000012000000}" name="17" totalsRowFunction="count" dataDxfId="478" totalsRowDxfId="477"/>
    <tableColumn id="19" xr3:uid="{00000000-0010-0000-0500-000013000000}" name="18" totalsRowFunction="count" dataDxfId="476" totalsRowDxfId="475"/>
    <tableColumn id="20" xr3:uid="{00000000-0010-0000-0500-000014000000}" name="19" totalsRowFunction="count" dataDxfId="474" totalsRowDxfId="473"/>
    <tableColumn id="21" xr3:uid="{00000000-0010-0000-0500-000015000000}" name="20" totalsRowFunction="count" dataDxfId="472" totalsRowDxfId="471"/>
    <tableColumn id="22" xr3:uid="{00000000-0010-0000-0500-000016000000}" name="21" totalsRowFunction="count" dataDxfId="470" totalsRowDxfId="469"/>
    <tableColumn id="23" xr3:uid="{00000000-0010-0000-0500-000017000000}" name="22" totalsRowFunction="count" dataDxfId="468" totalsRowDxfId="467"/>
    <tableColumn id="24" xr3:uid="{00000000-0010-0000-0500-000018000000}" name="23" totalsRowFunction="count" dataDxfId="466" totalsRowDxfId="465"/>
    <tableColumn id="25" xr3:uid="{00000000-0010-0000-0500-000019000000}" name="24" totalsRowFunction="count" dataDxfId="464" totalsRowDxfId="463"/>
    <tableColumn id="26" xr3:uid="{00000000-0010-0000-0500-00001A000000}" name="25" totalsRowFunction="count" dataDxfId="462" totalsRowDxfId="461"/>
    <tableColumn id="27" xr3:uid="{00000000-0010-0000-0500-00001B000000}" name="26" totalsRowFunction="count" dataDxfId="460" totalsRowDxfId="459"/>
    <tableColumn id="28" xr3:uid="{00000000-0010-0000-0500-00001C000000}" name="27" totalsRowFunction="count" dataDxfId="458" totalsRowDxfId="457"/>
    <tableColumn id="29" xr3:uid="{00000000-0010-0000-0500-00001D000000}" name="28" totalsRowFunction="count" dataDxfId="456" totalsRowDxfId="455"/>
    <tableColumn id="30" xr3:uid="{00000000-0010-0000-0500-00001E000000}" name="29" totalsRowFunction="count" dataDxfId="454" totalsRowDxfId="453"/>
    <tableColumn id="31" xr3:uid="{00000000-0010-0000-0500-00001F000000}" name="30" totalsRowFunction="sum" dataDxfId="452" totalsRowDxfId="451"/>
    <tableColumn id="32" xr3:uid="{00000000-0010-0000-0500-000020000000}" name="31" totalsRowFunction="sum" dataDxfId="450" totalsRowDxfId="449" dataCellStyle="Total"/>
    <tableColumn id="33" xr3:uid="{00000000-0010-0000-0500-000021000000}" name="Total Days" totalsRowFunction="sum" dataDxfId="448" totalsRowDxfId="447" dataCellStyle="Total">
      <calculatedColumnFormula>COUNTA(June[[#This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6:AH12" totalsRowCount="1" headerRowDxfId="441" dataDxfId="440" totalsRowDxfId="439">
  <tableColumns count="33">
    <tableColumn id="1" xr3:uid="{00000000-0010-0000-0600-000001000000}" name="Employee Name" totalsRowFunction="custom" dataDxfId="438" totalsRowDxfId="437" dataCellStyle="Employee">
      <totalsRowFormula>MonthName&amp;" Total"</totalsRowFormula>
    </tableColumn>
    <tableColumn id="2" xr3:uid="{00000000-0010-0000-0600-000002000000}" name="1" totalsRowFunction="count" dataDxfId="436" totalsRowDxfId="435"/>
    <tableColumn id="3" xr3:uid="{00000000-0010-0000-0600-000003000000}" name="2" totalsRowFunction="count" dataDxfId="434" totalsRowDxfId="433"/>
    <tableColumn id="4" xr3:uid="{00000000-0010-0000-0600-000004000000}" name="3" totalsRowFunction="count" dataDxfId="432" totalsRowDxfId="431"/>
    <tableColumn id="5" xr3:uid="{00000000-0010-0000-0600-000005000000}" name="4" totalsRowFunction="count" dataDxfId="430" totalsRowDxfId="429"/>
    <tableColumn id="6" xr3:uid="{00000000-0010-0000-0600-000006000000}" name="5" totalsRowFunction="count" dataDxfId="428" totalsRowDxfId="427"/>
    <tableColumn id="7" xr3:uid="{00000000-0010-0000-0600-000007000000}" name="6" totalsRowFunction="count" dataDxfId="426" totalsRowDxfId="425"/>
    <tableColumn id="8" xr3:uid="{00000000-0010-0000-0600-000008000000}" name="7" totalsRowFunction="count" dataDxfId="424" totalsRowDxfId="423"/>
    <tableColumn id="9" xr3:uid="{00000000-0010-0000-0600-000009000000}" name="8" totalsRowFunction="count" dataDxfId="422" totalsRowDxfId="421"/>
    <tableColumn id="10" xr3:uid="{00000000-0010-0000-0600-00000A000000}" name="9" totalsRowFunction="count" dataDxfId="420" totalsRowDxfId="419"/>
    <tableColumn id="11" xr3:uid="{00000000-0010-0000-0600-00000B000000}" name="10" totalsRowFunction="count" dataDxfId="418" totalsRowDxfId="417"/>
    <tableColumn id="12" xr3:uid="{00000000-0010-0000-0600-00000C000000}" name="11" totalsRowFunction="count" dataDxfId="416" totalsRowDxfId="415"/>
    <tableColumn id="13" xr3:uid="{00000000-0010-0000-0600-00000D000000}" name="12" totalsRowFunction="count" dataDxfId="414" totalsRowDxfId="413"/>
    <tableColumn id="14" xr3:uid="{00000000-0010-0000-0600-00000E000000}" name="13" totalsRowFunction="count" dataDxfId="412" totalsRowDxfId="411"/>
    <tableColumn id="15" xr3:uid="{00000000-0010-0000-0600-00000F000000}" name="14" totalsRowFunction="count" dataDxfId="410" totalsRowDxfId="409"/>
    <tableColumn id="16" xr3:uid="{00000000-0010-0000-0600-000010000000}" name="15" totalsRowFunction="count" dataDxfId="408" totalsRowDxfId="407"/>
    <tableColumn id="17" xr3:uid="{00000000-0010-0000-0600-000011000000}" name="16" totalsRowFunction="count" dataDxfId="406" totalsRowDxfId="405"/>
    <tableColumn id="18" xr3:uid="{00000000-0010-0000-0600-000012000000}" name="17" totalsRowFunction="count" dataDxfId="404" totalsRowDxfId="403"/>
    <tableColumn id="19" xr3:uid="{00000000-0010-0000-0600-000013000000}" name="18" totalsRowFunction="count" dataDxfId="402" totalsRowDxfId="401"/>
    <tableColumn id="20" xr3:uid="{00000000-0010-0000-0600-000014000000}" name="19" totalsRowFunction="count" dataDxfId="400" totalsRowDxfId="399"/>
    <tableColumn id="21" xr3:uid="{00000000-0010-0000-0600-000015000000}" name="20" totalsRowFunction="count" dataDxfId="398" totalsRowDxfId="397"/>
    <tableColumn id="22" xr3:uid="{00000000-0010-0000-0600-000016000000}" name="21" totalsRowFunction="count" dataDxfId="396" totalsRowDxfId="395"/>
    <tableColumn id="23" xr3:uid="{00000000-0010-0000-0600-000017000000}" name="22" totalsRowFunction="count" dataDxfId="394" totalsRowDxfId="393"/>
    <tableColumn id="24" xr3:uid="{00000000-0010-0000-0600-000018000000}" name="23" totalsRowFunction="count" dataDxfId="392" totalsRowDxfId="391"/>
    <tableColumn id="25" xr3:uid="{00000000-0010-0000-0600-000019000000}" name="24" totalsRowFunction="count" dataDxfId="390" totalsRowDxfId="389"/>
    <tableColumn id="26" xr3:uid="{00000000-0010-0000-0600-00001A000000}" name="25" totalsRowFunction="count" dataDxfId="388" totalsRowDxfId="387"/>
    <tableColumn id="27" xr3:uid="{00000000-0010-0000-0600-00001B000000}" name="26" totalsRowFunction="count" dataDxfId="386" totalsRowDxfId="385"/>
    <tableColumn id="28" xr3:uid="{00000000-0010-0000-0600-00001C000000}" name="27" totalsRowFunction="count" dataDxfId="384" totalsRowDxfId="383"/>
    <tableColumn id="29" xr3:uid="{00000000-0010-0000-0600-00001D000000}" name="28" totalsRowFunction="count" dataDxfId="382" totalsRowDxfId="381"/>
    <tableColumn id="30" xr3:uid="{00000000-0010-0000-0600-00001E000000}" name="29" totalsRowFunction="count" dataDxfId="380" totalsRowDxfId="379"/>
    <tableColumn id="31" xr3:uid="{00000000-0010-0000-0600-00001F000000}" name="30" totalsRowFunction="sum" dataDxfId="378" totalsRowDxfId="377"/>
    <tableColumn id="32" xr3:uid="{00000000-0010-0000-0600-000020000000}" name="31" totalsRowFunction="sum" dataDxfId="376" totalsRowDxfId="375" dataCellStyle="Total"/>
    <tableColumn id="33" xr3:uid="{00000000-0010-0000-0600-000021000000}" name="Total Days" totalsRowFunction="sum" dataDxfId="374" totalsRowDxfId="373" dataCellStyle="Total">
      <calculatedColumnFormula>COUNTA(July[[#This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6:AH12" totalsRowCount="1" headerRowDxfId="367" dataDxfId="366" totalsRowDxfId="365">
  <tableColumns count="33">
    <tableColumn id="1" xr3:uid="{00000000-0010-0000-0700-000001000000}" name="Employee Name" totalsRowFunction="custom" dataDxfId="364" totalsRowDxfId="363" dataCellStyle="Employee">
      <totalsRowFormula>MonthName&amp;" Total"</totalsRowFormula>
    </tableColumn>
    <tableColumn id="2" xr3:uid="{00000000-0010-0000-0700-000002000000}" name="1" totalsRowFunction="count" dataDxfId="362" totalsRowDxfId="361"/>
    <tableColumn id="3" xr3:uid="{00000000-0010-0000-0700-000003000000}" name="2" totalsRowFunction="count" dataDxfId="360" totalsRowDxfId="359"/>
    <tableColumn id="4" xr3:uid="{00000000-0010-0000-0700-000004000000}" name="3" totalsRowFunction="count" dataDxfId="358" totalsRowDxfId="357"/>
    <tableColumn id="5" xr3:uid="{00000000-0010-0000-0700-000005000000}" name="4" totalsRowFunction="count" dataDxfId="356" totalsRowDxfId="355"/>
    <tableColumn id="6" xr3:uid="{00000000-0010-0000-0700-000006000000}" name="5" totalsRowFunction="count" dataDxfId="354" totalsRowDxfId="353"/>
    <tableColumn id="7" xr3:uid="{00000000-0010-0000-0700-000007000000}" name="6" totalsRowFunction="count" dataDxfId="352" totalsRowDxfId="351"/>
    <tableColumn id="8" xr3:uid="{00000000-0010-0000-0700-000008000000}" name="7" totalsRowFunction="count" dataDxfId="350" totalsRowDxfId="349"/>
    <tableColumn id="9" xr3:uid="{00000000-0010-0000-0700-000009000000}" name="8" totalsRowFunction="count" dataDxfId="348" totalsRowDxfId="347"/>
    <tableColumn id="10" xr3:uid="{00000000-0010-0000-0700-00000A000000}" name="9" totalsRowFunction="count" dataDxfId="346" totalsRowDxfId="345"/>
    <tableColumn id="11" xr3:uid="{00000000-0010-0000-0700-00000B000000}" name="10" totalsRowFunction="count" dataDxfId="344" totalsRowDxfId="343"/>
    <tableColumn id="12" xr3:uid="{00000000-0010-0000-0700-00000C000000}" name="11" totalsRowFunction="count" dataDxfId="342" totalsRowDxfId="341"/>
    <tableColumn id="13" xr3:uid="{00000000-0010-0000-0700-00000D000000}" name="12" totalsRowFunction="count" dataDxfId="340" totalsRowDxfId="339"/>
    <tableColumn id="14" xr3:uid="{00000000-0010-0000-0700-00000E000000}" name="13" totalsRowFunction="count" dataDxfId="338" totalsRowDxfId="337"/>
    <tableColumn id="15" xr3:uid="{00000000-0010-0000-0700-00000F000000}" name="14" totalsRowFunction="count" dataDxfId="336" totalsRowDxfId="335"/>
    <tableColumn id="16" xr3:uid="{00000000-0010-0000-0700-000010000000}" name="15" totalsRowFunction="count" dataDxfId="334" totalsRowDxfId="333"/>
    <tableColumn id="17" xr3:uid="{00000000-0010-0000-0700-000011000000}" name="16" totalsRowFunction="count" dataDxfId="332" totalsRowDxfId="331"/>
    <tableColumn id="18" xr3:uid="{00000000-0010-0000-0700-000012000000}" name="17" totalsRowFunction="count" dataDxfId="330" totalsRowDxfId="329"/>
    <tableColumn id="19" xr3:uid="{00000000-0010-0000-0700-000013000000}" name="18" totalsRowFunction="count" dataDxfId="328" totalsRowDxfId="327"/>
    <tableColumn id="20" xr3:uid="{00000000-0010-0000-0700-000014000000}" name="19" totalsRowFunction="count" dataDxfId="326" totalsRowDxfId="325"/>
    <tableColumn id="21" xr3:uid="{00000000-0010-0000-0700-000015000000}" name="20" totalsRowFunction="count" dataDxfId="324" totalsRowDxfId="323"/>
    <tableColumn id="22" xr3:uid="{00000000-0010-0000-0700-000016000000}" name="21" totalsRowFunction="count" dataDxfId="322" totalsRowDxfId="321"/>
    <tableColumn id="23" xr3:uid="{00000000-0010-0000-0700-000017000000}" name="22" totalsRowFunction="count" dataDxfId="320" totalsRowDxfId="319"/>
    <tableColumn id="24" xr3:uid="{00000000-0010-0000-0700-000018000000}" name="23" totalsRowFunction="count" dataDxfId="318" totalsRowDxfId="317"/>
    <tableColumn id="25" xr3:uid="{00000000-0010-0000-0700-000019000000}" name="24" totalsRowFunction="count" dataDxfId="316" totalsRowDxfId="315"/>
    <tableColumn id="26" xr3:uid="{00000000-0010-0000-0700-00001A000000}" name="25" totalsRowFunction="count" dataDxfId="314" totalsRowDxfId="313"/>
    <tableColumn id="27" xr3:uid="{00000000-0010-0000-0700-00001B000000}" name="26" totalsRowFunction="count" dataDxfId="312" totalsRowDxfId="311"/>
    <tableColumn id="28" xr3:uid="{00000000-0010-0000-0700-00001C000000}" name="27" totalsRowFunction="count" dataDxfId="310" totalsRowDxfId="309"/>
    <tableColumn id="29" xr3:uid="{00000000-0010-0000-0700-00001D000000}" name="28" totalsRowFunction="count" dataDxfId="308" totalsRowDxfId="307"/>
    <tableColumn id="30" xr3:uid="{00000000-0010-0000-0700-00001E000000}" name="29" totalsRowFunction="count" dataDxfId="306" totalsRowDxfId="305"/>
    <tableColumn id="31" xr3:uid="{00000000-0010-0000-0700-00001F000000}" name="30" totalsRowFunction="sum" dataDxfId="304" totalsRowDxfId="303"/>
    <tableColumn id="32" xr3:uid="{00000000-0010-0000-0700-000020000000}" name="31" totalsRowFunction="sum" dataDxfId="302" totalsRowDxfId="301" dataCellStyle="Total"/>
    <tableColumn id="33" xr3:uid="{00000000-0010-0000-0700-000021000000}" name="Total Days" totalsRowFunction="sum" dataDxfId="300" totalsRowDxfId="299" dataCellStyle="Total">
      <calculatedColumnFormula>COUNTA(August[[#This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6:AH12" totalsRowCount="1" headerRowDxfId="293" dataDxfId="292" totalsRowDxfId="291">
  <tableColumns count="33">
    <tableColumn id="1" xr3:uid="{00000000-0010-0000-0800-000001000000}" name="Employee Name" totalsRowFunction="custom" dataDxfId="290" totalsRowDxfId="289" dataCellStyle="Employee">
      <totalsRowFormula>MonthName&amp;" Total"</totalsRowFormula>
    </tableColumn>
    <tableColumn id="2" xr3:uid="{00000000-0010-0000-0800-000002000000}" name="1" totalsRowFunction="count" dataDxfId="288" totalsRowDxfId="287"/>
    <tableColumn id="3" xr3:uid="{00000000-0010-0000-0800-000003000000}" name="2" totalsRowFunction="count" dataDxfId="286" totalsRowDxfId="285"/>
    <tableColumn id="4" xr3:uid="{00000000-0010-0000-0800-000004000000}" name="3" totalsRowFunction="count" dataDxfId="284" totalsRowDxfId="283"/>
    <tableColumn id="5" xr3:uid="{00000000-0010-0000-0800-000005000000}" name="4" totalsRowFunction="count" dataDxfId="282" totalsRowDxfId="281"/>
    <tableColumn id="6" xr3:uid="{00000000-0010-0000-0800-000006000000}" name="5" totalsRowFunction="count" dataDxfId="280" totalsRowDxfId="279"/>
    <tableColumn id="7" xr3:uid="{00000000-0010-0000-0800-000007000000}" name="6" totalsRowFunction="count" dataDxfId="278" totalsRowDxfId="277"/>
    <tableColumn id="8" xr3:uid="{00000000-0010-0000-0800-000008000000}" name="7" totalsRowFunction="count" dataDxfId="276" totalsRowDxfId="275"/>
    <tableColumn id="9" xr3:uid="{00000000-0010-0000-0800-000009000000}" name="8" totalsRowFunction="count" dataDxfId="274" totalsRowDxfId="273"/>
    <tableColumn id="10" xr3:uid="{00000000-0010-0000-0800-00000A000000}" name="9" totalsRowFunction="count" dataDxfId="272" totalsRowDxfId="271"/>
    <tableColumn id="11" xr3:uid="{00000000-0010-0000-0800-00000B000000}" name="10" totalsRowFunction="count" dataDxfId="270" totalsRowDxfId="269"/>
    <tableColumn id="12" xr3:uid="{00000000-0010-0000-0800-00000C000000}" name="11" totalsRowFunction="count" dataDxfId="268" totalsRowDxfId="267"/>
    <tableColumn id="13" xr3:uid="{00000000-0010-0000-0800-00000D000000}" name="12" totalsRowFunction="count" dataDxfId="266" totalsRowDxfId="265"/>
    <tableColumn id="14" xr3:uid="{00000000-0010-0000-0800-00000E000000}" name="13" totalsRowFunction="count" dataDxfId="264" totalsRowDxfId="263"/>
    <tableColumn id="15" xr3:uid="{00000000-0010-0000-0800-00000F000000}" name="14" totalsRowFunction="count" dataDxfId="262" totalsRowDxfId="261"/>
    <tableColumn id="16" xr3:uid="{00000000-0010-0000-0800-000010000000}" name="15" totalsRowFunction="count" dataDxfId="260" totalsRowDxfId="259"/>
    <tableColumn id="17" xr3:uid="{00000000-0010-0000-0800-000011000000}" name="16" totalsRowFunction="count" dataDxfId="258" totalsRowDxfId="257"/>
    <tableColumn id="18" xr3:uid="{00000000-0010-0000-0800-000012000000}" name="17" totalsRowFunction="count" dataDxfId="256" totalsRowDxfId="255"/>
    <tableColumn id="19" xr3:uid="{00000000-0010-0000-0800-000013000000}" name="18" totalsRowFunction="count" dataDxfId="254" totalsRowDxfId="253"/>
    <tableColumn id="20" xr3:uid="{00000000-0010-0000-0800-000014000000}" name="19" totalsRowFunction="count" dataDxfId="252" totalsRowDxfId="251"/>
    <tableColumn id="21" xr3:uid="{00000000-0010-0000-0800-000015000000}" name="20" totalsRowFunction="count" dataDxfId="250" totalsRowDxfId="249"/>
    <tableColumn id="22" xr3:uid="{00000000-0010-0000-0800-000016000000}" name="21" totalsRowFunction="count" dataDxfId="248" totalsRowDxfId="247"/>
    <tableColumn id="23" xr3:uid="{00000000-0010-0000-0800-000017000000}" name="22" totalsRowFunction="count" dataDxfId="246" totalsRowDxfId="245"/>
    <tableColumn id="24" xr3:uid="{00000000-0010-0000-0800-000018000000}" name="23" totalsRowFunction="count" dataDxfId="244" totalsRowDxfId="243"/>
    <tableColumn id="25" xr3:uid="{00000000-0010-0000-0800-000019000000}" name="24" totalsRowFunction="count" dataDxfId="242" totalsRowDxfId="241"/>
    <tableColumn id="26" xr3:uid="{00000000-0010-0000-0800-00001A000000}" name="25" totalsRowFunction="count" dataDxfId="240" totalsRowDxfId="239"/>
    <tableColumn id="27" xr3:uid="{00000000-0010-0000-0800-00001B000000}" name="26" totalsRowFunction="count" dataDxfId="238" totalsRowDxfId="237"/>
    <tableColumn id="28" xr3:uid="{00000000-0010-0000-0800-00001C000000}" name="27" totalsRowFunction="count" dataDxfId="236" totalsRowDxfId="235"/>
    <tableColumn id="29" xr3:uid="{00000000-0010-0000-0800-00001D000000}" name="28" totalsRowFunction="count" dataDxfId="234" totalsRowDxfId="233"/>
    <tableColumn id="30" xr3:uid="{00000000-0010-0000-0800-00001E000000}" name="29" totalsRowFunction="count" dataDxfId="232" totalsRowDxfId="231"/>
    <tableColumn id="31" xr3:uid="{00000000-0010-0000-0800-00001F000000}" name="30" totalsRowFunction="sum" dataDxfId="230" totalsRowDxfId="229"/>
    <tableColumn id="32" xr3:uid="{00000000-0010-0000-0800-000020000000}" name="31" totalsRowFunction="sum" dataDxfId="228" totalsRowDxfId="227" dataCellStyle="Total"/>
    <tableColumn id="33" xr3:uid="{00000000-0010-0000-0800-000021000000}" name="Total Days" totalsRowFunction="sum" dataDxfId="226" totalsRowDxfId="225" dataCellStyle="Total">
      <calculatedColumnFormula>COUNTA(September[[#This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6:AH12" totalsRowCount="1" headerRowDxfId="219" dataDxfId="218" totalsRowDxfId="217">
  <tableColumns count="33">
    <tableColumn id="1" xr3:uid="{00000000-0010-0000-0900-000001000000}" name="Employee Name" totalsRowFunction="custom" dataDxfId="216" totalsRowDxfId="215" dataCellStyle="Employee">
      <totalsRowFormula>MonthName&amp;" Total"</totalsRowFormula>
    </tableColumn>
    <tableColumn id="2" xr3:uid="{00000000-0010-0000-0900-000002000000}" name="1" totalsRowFunction="count" dataDxfId="214" totalsRowDxfId="213"/>
    <tableColumn id="3" xr3:uid="{00000000-0010-0000-0900-000003000000}" name="2" totalsRowFunction="count" dataDxfId="212" totalsRowDxfId="211"/>
    <tableColumn id="4" xr3:uid="{00000000-0010-0000-0900-000004000000}" name="3" totalsRowFunction="count" dataDxfId="210" totalsRowDxfId="209"/>
    <tableColumn id="5" xr3:uid="{00000000-0010-0000-0900-000005000000}" name="4" totalsRowFunction="count" dataDxfId="208" totalsRowDxfId="207"/>
    <tableColumn id="6" xr3:uid="{00000000-0010-0000-0900-000006000000}" name="5" totalsRowFunction="count" dataDxfId="206" totalsRowDxfId="205"/>
    <tableColumn id="7" xr3:uid="{00000000-0010-0000-0900-000007000000}" name="6" totalsRowFunction="count" dataDxfId="204" totalsRowDxfId="203"/>
    <tableColumn id="8" xr3:uid="{00000000-0010-0000-0900-000008000000}" name="7" totalsRowFunction="count" dataDxfId="202" totalsRowDxfId="201"/>
    <tableColumn id="9" xr3:uid="{00000000-0010-0000-0900-000009000000}" name="8" totalsRowFunction="count" dataDxfId="200" totalsRowDxfId="199"/>
    <tableColumn id="10" xr3:uid="{00000000-0010-0000-0900-00000A000000}" name="9" totalsRowFunction="count" dataDxfId="198" totalsRowDxfId="197"/>
    <tableColumn id="11" xr3:uid="{00000000-0010-0000-0900-00000B000000}" name="10" totalsRowFunction="count" dataDxfId="196" totalsRowDxfId="195"/>
    <tableColumn id="12" xr3:uid="{00000000-0010-0000-0900-00000C000000}" name="11" totalsRowFunction="count" dataDxfId="194" totalsRowDxfId="193"/>
    <tableColumn id="13" xr3:uid="{00000000-0010-0000-0900-00000D000000}" name="12" totalsRowFunction="count" dataDxfId="192" totalsRowDxfId="191"/>
    <tableColumn id="14" xr3:uid="{00000000-0010-0000-0900-00000E000000}" name="13" totalsRowFunction="count" dataDxfId="190" totalsRowDxfId="189"/>
    <tableColumn id="15" xr3:uid="{00000000-0010-0000-0900-00000F000000}" name="14" totalsRowFunction="count" dataDxfId="188" totalsRowDxfId="187"/>
    <tableColumn id="16" xr3:uid="{00000000-0010-0000-0900-000010000000}" name="15" totalsRowFunction="count" dataDxfId="186" totalsRowDxfId="185"/>
    <tableColumn id="17" xr3:uid="{00000000-0010-0000-0900-000011000000}" name="16" totalsRowFunction="count" dataDxfId="184" totalsRowDxfId="183"/>
    <tableColumn id="18" xr3:uid="{00000000-0010-0000-0900-000012000000}" name="17" totalsRowFunction="count" dataDxfId="182" totalsRowDxfId="181"/>
    <tableColumn id="19" xr3:uid="{00000000-0010-0000-0900-000013000000}" name="18" totalsRowFunction="count" dataDxfId="180" totalsRowDxfId="179"/>
    <tableColumn id="20" xr3:uid="{00000000-0010-0000-0900-000014000000}" name="19" totalsRowFunction="count" dataDxfId="178" totalsRowDxfId="177"/>
    <tableColumn id="21" xr3:uid="{00000000-0010-0000-0900-000015000000}" name="20" totalsRowFunction="count" dataDxfId="176" totalsRowDxfId="175"/>
    <tableColumn id="22" xr3:uid="{00000000-0010-0000-0900-000016000000}" name="21" totalsRowFunction="count" dataDxfId="174" totalsRowDxfId="173"/>
    <tableColumn id="23" xr3:uid="{00000000-0010-0000-0900-000017000000}" name="22" totalsRowFunction="count" dataDxfId="172" totalsRowDxfId="171"/>
    <tableColumn id="24" xr3:uid="{00000000-0010-0000-0900-000018000000}" name="23" totalsRowFunction="count" dataDxfId="170" totalsRowDxfId="169"/>
    <tableColumn id="25" xr3:uid="{00000000-0010-0000-0900-000019000000}" name="24" totalsRowFunction="count" dataDxfId="168" totalsRowDxfId="167"/>
    <tableColumn id="26" xr3:uid="{00000000-0010-0000-0900-00001A000000}" name="25" totalsRowFunction="count" dataDxfId="166" totalsRowDxfId="165"/>
    <tableColumn id="27" xr3:uid="{00000000-0010-0000-0900-00001B000000}" name="26" totalsRowFunction="count" dataDxfId="164" totalsRowDxfId="163"/>
    <tableColumn id="28" xr3:uid="{00000000-0010-0000-0900-00001C000000}" name="27" totalsRowFunction="count" dataDxfId="162" totalsRowDxfId="161"/>
    <tableColumn id="29" xr3:uid="{00000000-0010-0000-0900-00001D000000}" name="28" totalsRowFunction="count" dataDxfId="160" totalsRowDxfId="159"/>
    <tableColumn id="30" xr3:uid="{00000000-0010-0000-0900-00001E000000}" name="29" totalsRowFunction="count" dataDxfId="158" totalsRowDxfId="157"/>
    <tableColumn id="31" xr3:uid="{00000000-0010-0000-0900-00001F000000}" name="30" totalsRowFunction="sum" dataDxfId="156" totalsRowDxfId="155"/>
    <tableColumn id="32" xr3:uid="{00000000-0010-0000-0900-000020000000}" name="31" totalsRowFunction="sum" dataDxfId="154" totalsRowDxfId="153" dataCellStyle="Total"/>
    <tableColumn id="33" xr3:uid="{00000000-0010-0000-0900-000021000000}" name="Total Days" totalsRowFunction="sum" dataDxfId="152" totalsRowDxfId="151" dataCellStyle="Total">
      <calculatedColumnFormula>COUNTA(October[[#This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6:AH12" totalsRowCount="1" headerRowDxfId="145" dataDxfId="144" totalsRowDxfId="143">
  <tableColumns count="33">
    <tableColumn id="1" xr3:uid="{00000000-0010-0000-0A00-000001000000}" name="Employee Name" totalsRowFunction="custom" dataDxfId="142" totalsRowDxfId="141" dataCellStyle="Employee">
      <totalsRowFormula>MonthName&amp;" Total"</totalsRowFormula>
    </tableColumn>
    <tableColumn id="2" xr3:uid="{00000000-0010-0000-0A00-000002000000}" name="1" totalsRowFunction="count" dataDxfId="140" totalsRowDxfId="139"/>
    <tableColumn id="3" xr3:uid="{00000000-0010-0000-0A00-000003000000}" name="2" totalsRowFunction="count" dataDxfId="138" totalsRowDxfId="137"/>
    <tableColumn id="4" xr3:uid="{00000000-0010-0000-0A00-000004000000}" name="3" totalsRowFunction="count" dataDxfId="136" totalsRowDxfId="135"/>
    <tableColumn id="5" xr3:uid="{00000000-0010-0000-0A00-000005000000}" name="4" totalsRowFunction="count" dataDxfId="134" totalsRowDxfId="133"/>
    <tableColumn id="6" xr3:uid="{00000000-0010-0000-0A00-000006000000}" name="5" totalsRowFunction="count" dataDxfId="132" totalsRowDxfId="131"/>
    <tableColumn id="7" xr3:uid="{00000000-0010-0000-0A00-000007000000}" name="6" totalsRowFunction="count" dataDxfId="130" totalsRowDxfId="129"/>
    <tableColumn id="8" xr3:uid="{00000000-0010-0000-0A00-000008000000}" name="7" totalsRowFunction="count" dataDxfId="128" totalsRowDxfId="127"/>
    <tableColumn id="9" xr3:uid="{00000000-0010-0000-0A00-000009000000}" name="8" totalsRowFunction="count" dataDxfId="126" totalsRowDxfId="125"/>
    <tableColumn id="10" xr3:uid="{00000000-0010-0000-0A00-00000A000000}" name="9" totalsRowFunction="count" dataDxfId="124" totalsRowDxfId="123"/>
    <tableColumn id="11" xr3:uid="{00000000-0010-0000-0A00-00000B000000}" name="10" totalsRowFunction="count" dataDxfId="122" totalsRowDxfId="121"/>
    <tableColumn id="12" xr3:uid="{00000000-0010-0000-0A00-00000C000000}" name="11" totalsRowFunction="count" dataDxfId="120" totalsRowDxfId="119"/>
    <tableColumn id="13" xr3:uid="{00000000-0010-0000-0A00-00000D000000}" name="12" totalsRowFunction="count" dataDxfId="118" totalsRowDxfId="117"/>
    <tableColumn id="14" xr3:uid="{00000000-0010-0000-0A00-00000E000000}" name="13" totalsRowFunction="count" dataDxfId="116" totalsRowDxfId="115"/>
    <tableColumn id="15" xr3:uid="{00000000-0010-0000-0A00-00000F000000}" name="14" totalsRowFunction="count" dataDxfId="114" totalsRowDxfId="113"/>
    <tableColumn id="16" xr3:uid="{00000000-0010-0000-0A00-000010000000}" name="15" totalsRowFunction="count" dataDxfId="112" totalsRowDxfId="111"/>
    <tableColumn id="17" xr3:uid="{00000000-0010-0000-0A00-000011000000}" name="16" totalsRowFunction="count" dataDxfId="110" totalsRowDxfId="109"/>
    <tableColumn id="18" xr3:uid="{00000000-0010-0000-0A00-000012000000}" name="17" totalsRowFunction="count" dataDxfId="108" totalsRowDxfId="107"/>
    <tableColumn id="19" xr3:uid="{00000000-0010-0000-0A00-000013000000}" name="18" totalsRowFunction="count" dataDxfId="106" totalsRowDxfId="105"/>
    <tableColumn id="20" xr3:uid="{00000000-0010-0000-0A00-000014000000}" name="19" totalsRowFunction="count" dataDxfId="104" totalsRowDxfId="103"/>
    <tableColumn id="21" xr3:uid="{00000000-0010-0000-0A00-000015000000}" name="20" totalsRowFunction="count" dataDxfId="102" totalsRowDxfId="101"/>
    <tableColumn id="22" xr3:uid="{00000000-0010-0000-0A00-000016000000}" name="21" totalsRowFunction="count" dataDxfId="100" totalsRowDxfId="99"/>
    <tableColumn id="23" xr3:uid="{00000000-0010-0000-0A00-000017000000}" name="22" totalsRowFunction="count" dataDxfId="98" totalsRowDxfId="97"/>
    <tableColumn id="24" xr3:uid="{00000000-0010-0000-0A00-000018000000}" name="23" totalsRowFunction="count" dataDxfId="96" totalsRowDxfId="95"/>
    <tableColumn id="25" xr3:uid="{00000000-0010-0000-0A00-000019000000}" name="24" totalsRowFunction="count" dataDxfId="94" totalsRowDxfId="93"/>
    <tableColumn id="26" xr3:uid="{00000000-0010-0000-0A00-00001A000000}" name="25" totalsRowFunction="count" dataDxfId="92" totalsRowDxfId="91"/>
    <tableColumn id="27" xr3:uid="{00000000-0010-0000-0A00-00001B000000}" name="26" totalsRowFunction="count" dataDxfId="90" totalsRowDxfId="89"/>
    <tableColumn id="28" xr3:uid="{00000000-0010-0000-0A00-00001C000000}" name="27" totalsRowFunction="count" dataDxfId="88" totalsRowDxfId="87"/>
    <tableColumn id="29" xr3:uid="{00000000-0010-0000-0A00-00001D000000}" name="28" totalsRowFunction="count" dataDxfId="86" totalsRowDxfId="85"/>
    <tableColumn id="30" xr3:uid="{00000000-0010-0000-0A00-00001E000000}" name="29" totalsRowFunction="count" dataDxfId="84" totalsRowDxfId="83"/>
    <tableColumn id="31" xr3:uid="{00000000-0010-0000-0A00-00001F000000}" name="30" totalsRowFunction="sum" dataDxfId="82" totalsRowDxfId="81"/>
    <tableColumn id="32" xr3:uid="{00000000-0010-0000-0A00-000020000000}" name="31" totalsRowFunction="sum" dataDxfId="80" totalsRowDxfId="79" dataCellStyle="Total"/>
    <tableColumn id="33" xr3:uid="{00000000-0010-0000-0A00-000021000000}" name="Total Days" totalsRowFunction="sum" dataDxfId="78" totalsRowDxfId="77" dataCellStyle="Total">
      <calculatedColumnFormula>COUNTA(November[[#This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as per the key in row 12: H=Holiday,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6:AH12" totalsRowCount="1" headerRowDxfId="71" dataDxfId="70" totalsRowDxfId="69">
  <tableColumns count="33">
    <tableColumn id="1" xr3:uid="{00000000-0010-0000-0B00-000001000000}" name="Employee Name" totalsRowFunction="custom" dataDxfId="68" totalsRowDxfId="67" dataCellStyle="Employee">
      <totalsRowFormula>MonthName&amp;" Total"</totalsRowFormula>
    </tableColumn>
    <tableColumn id="2" xr3:uid="{00000000-0010-0000-0B00-000002000000}" name="1" totalsRowFunction="count" dataDxfId="66" totalsRowDxfId="65"/>
    <tableColumn id="3" xr3:uid="{00000000-0010-0000-0B00-000003000000}" name="2" totalsRowFunction="count" dataDxfId="64" totalsRowDxfId="63"/>
    <tableColumn id="4" xr3:uid="{00000000-0010-0000-0B00-000004000000}" name="3" totalsRowFunction="count" dataDxfId="62" totalsRowDxfId="61"/>
    <tableColumn id="5" xr3:uid="{00000000-0010-0000-0B00-000005000000}" name="4" totalsRowFunction="count" dataDxfId="60" totalsRowDxfId="59"/>
    <tableColumn id="6" xr3:uid="{00000000-0010-0000-0B00-000006000000}" name="5" totalsRowFunction="count" dataDxfId="58" totalsRowDxfId="57"/>
    <tableColumn id="7" xr3:uid="{00000000-0010-0000-0B00-000007000000}" name="6" totalsRowFunction="count" dataDxfId="56" totalsRowDxfId="55"/>
    <tableColumn id="8" xr3:uid="{00000000-0010-0000-0B00-000008000000}" name="7" totalsRowFunction="count" dataDxfId="54" totalsRowDxfId="53"/>
    <tableColumn id="9" xr3:uid="{00000000-0010-0000-0B00-000009000000}" name="8" totalsRowFunction="count" dataDxfId="52" totalsRowDxfId="51"/>
    <tableColumn id="10" xr3:uid="{00000000-0010-0000-0B00-00000A000000}" name="9" totalsRowFunction="count" dataDxfId="50" totalsRowDxfId="49"/>
    <tableColumn id="11" xr3:uid="{00000000-0010-0000-0B00-00000B000000}" name="10" totalsRowFunction="count" dataDxfId="48" totalsRowDxfId="47"/>
    <tableColumn id="12" xr3:uid="{00000000-0010-0000-0B00-00000C000000}" name="11" totalsRowFunction="count" dataDxfId="46" totalsRowDxfId="45"/>
    <tableColumn id="13" xr3:uid="{00000000-0010-0000-0B00-00000D000000}" name="12" totalsRowFunction="count" dataDxfId="44" totalsRowDxfId="43"/>
    <tableColumn id="14" xr3:uid="{00000000-0010-0000-0B00-00000E000000}" name="13" totalsRowFunction="count" dataDxfId="42" totalsRowDxfId="41"/>
    <tableColumn id="15" xr3:uid="{00000000-0010-0000-0B00-00000F000000}" name="14" totalsRowFunction="count" dataDxfId="40" totalsRowDxfId="39"/>
    <tableColumn id="16" xr3:uid="{00000000-0010-0000-0B00-000010000000}" name="15" totalsRowFunction="count" dataDxfId="38" totalsRowDxfId="37"/>
    <tableColumn id="17" xr3:uid="{00000000-0010-0000-0B00-000011000000}" name="16" totalsRowFunction="count" dataDxfId="36" totalsRowDxfId="35"/>
    <tableColumn id="18" xr3:uid="{00000000-0010-0000-0B00-000012000000}" name="17" totalsRowFunction="count" dataDxfId="34" totalsRowDxfId="33"/>
    <tableColumn id="19" xr3:uid="{00000000-0010-0000-0B00-000013000000}" name="18" totalsRowFunction="count" dataDxfId="32" totalsRowDxfId="31"/>
    <tableColumn id="20" xr3:uid="{00000000-0010-0000-0B00-000014000000}" name="19" totalsRowFunction="count" dataDxfId="30" totalsRowDxfId="29"/>
    <tableColumn id="21" xr3:uid="{00000000-0010-0000-0B00-000015000000}" name="20" totalsRowFunction="count" dataDxfId="28" totalsRowDxfId="27"/>
    <tableColumn id="22" xr3:uid="{00000000-0010-0000-0B00-000016000000}" name="21" totalsRowFunction="count" dataDxfId="26" totalsRowDxfId="25"/>
    <tableColumn id="23" xr3:uid="{00000000-0010-0000-0B00-000017000000}" name="22" totalsRowFunction="count" dataDxfId="24" totalsRowDxfId="23"/>
    <tableColumn id="24" xr3:uid="{00000000-0010-0000-0B00-000018000000}" name="23" totalsRowFunction="count" dataDxfId="22" totalsRowDxfId="21"/>
    <tableColumn id="25" xr3:uid="{00000000-0010-0000-0B00-000019000000}" name="24" totalsRowFunction="count" dataDxfId="20" totalsRowDxfId="19"/>
    <tableColumn id="26" xr3:uid="{00000000-0010-0000-0B00-00001A000000}" name="25" totalsRowFunction="count" dataDxfId="18" totalsRowDxfId="17"/>
    <tableColumn id="27" xr3:uid="{00000000-0010-0000-0B00-00001B000000}" name="26" totalsRowFunction="count" dataDxfId="16" totalsRowDxfId="15"/>
    <tableColumn id="28" xr3:uid="{00000000-0010-0000-0B00-00001C000000}" name="27" totalsRowFunction="count" dataDxfId="14" totalsRowDxfId="13"/>
    <tableColumn id="29" xr3:uid="{00000000-0010-0000-0B00-00001D000000}" name="28" totalsRowFunction="count" dataDxfId="12" totalsRowDxfId="11"/>
    <tableColumn id="30" xr3:uid="{00000000-0010-0000-0B00-00001E000000}" name="29" totalsRowFunction="count" dataDxfId="10" totalsRowDxfId="9"/>
    <tableColumn id="31" xr3:uid="{00000000-0010-0000-0B00-00001F000000}" name="30" totalsRowFunction="sum" dataDxfId="8" totalsRowDxfId="7"/>
    <tableColumn id="32" xr3:uid="{00000000-0010-0000-0B00-000020000000}" name="31" totalsRowFunction="sum" dataDxfId="6" totalsRowDxfId="5" dataCellStyle="Total"/>
    <tableColumn id="33" xr3:uid="{00000000-0010-0000-0B00-000021000000}" name="Total Days" totalsRowFunction="sum" dataDxfId="4" totalsRowDxfId="3" dataCellStyle="Total">
      <calculatedColumnFormula>COUNTA(December[[#This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H=Holiday, S=Sick, P=Personal and two placeholders for custom entri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8" totalsRowShown="0" headerRowDxfId="2" dataDxfId="1" dataCellStyle="Employee">
  <autoFilter ref="B3:B8" xr:uid="{00000000-0009-0000-0100-00000D000000}"/>
  <tableColumns count="1">
    <tableColumn id="1" xr3:uid="{00000000-0010-0000-0C00-000001000000}" name="Employee Names" dataDxfId="0"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n B"/>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89999084444715716"/>
    <pageSetUpPr fitToPage="1"/>
  </sheetPr>
  <dimension ref="A1:AH12"/>
  <sheetViews>
    <sheetView showGridLines="0" tabSelected="1" topLeftCell="U1" zoomScale="138" zoomScaleNormal="138" workbookViewId="0">
      <selection activeCell="AJ2" sqref="AJ2"/>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1:34" ht="50" customHeight="1" x14ac:dyDescent="0.2">
      <c r="A1" s="1"/>
      <c r="B1" s="2" t="s">
        <v>0</v>
      </c>
      <c r="AD1"/>
    </row>
    <row r="2" spans="1: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1:34" ht="15" customHeight="1" x14ac:dyDescent="0.15">
      <c r="AH3" s="11" t="s">
        <v>49</v>
      </c>
    </row>
    <row r="4" spans="1:34" ht="30" customHeight="1" x14ac:dyDescent="0.2">
      <c r="B4" s="12" t="s">
        <v>2</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v>2022</v>
      </c>
    </row>
    <row r="5" spans="1:34" ht="15" customHeight="1" x14ac:dyDescent="0.2">
      <c r="B5" s="12"/>
      <c r="C5" s="13" t="str">
        <f>TEXT(WEEKDAY(DATE(CalendarYear,1,1),1),"aaa")</f>
        <v>Sat</v>
      </c>
      <c r="D5" s="13" t="str">
        <f>TEXT(WEEKDAY(DATE(CalendarYear,1,2),1),"aaa")</f>
        <v>Sun</v>
      </c>
      <c r="E5" s="13" t="str">
        <f>TEXT(WEEKDAY(DATE(CalendarYear,1,3),1),"aaa")</f>
        <v>Mon</v>
      </c>
      <c r="F5" s="13" t="str">
        <f>TEXT(WEEKDAY(DATE(CalendarYear,1,4),1),"aaa")</f>
        <v>Tue</v>
      </c>
      <c r="G5" s="13" t="str">
        <f>TEXT(WEEKDAY(DATE(CalendarYear,1,5),1),"aaa")</f>
        <v>Wed</v>
      </c>
      <c r="H5" s="13" t="str">
        <f>TEXT(WEEKDAY(DATE(CalendarYear,1,6),1),"aaa")</f>
        <v>Thu</v>
      </c>
      <c r="I5" s="13" t="str">
        <f>TEXT(WEEKDAY(DATE(CalendarYear,1,7),1),"aaa")</f>
        <v>Fri</v>
      </c>
      <c r="J5" s="13" t="str">
        <f>TEXT(WEEKDAY(DATE(CalendarYear,1,8),1),"aaa")</f>
        <v>Sat</v>
      </c>
      <c r="K5" s="13" t="str">
        <f>TEXT(WEEKDAY(DATE(CalendarYear,1,9),1),"aaa")</f>
        <v>Sun</v>
      </c>
      <c r="L5" s="13" t="str">
        <f>TEXT(WEEKDAY(DATE(CalendarYear,1,10),1),"aaa")</f>
        <v>Mon</v>
      </c>
      <c r="M5" s="13" t="str">
        <f>TEXT(WEEKDAY(DATE(CalendarYear,1,11),1),"aaa")</f>
        <v>Tue</v>
      </c>
      <c r="N5" s="13" t="str">
        <f>TEXT(WEEKDAY(DATE(CalendarYear,1,12),1),"aaa")</f>
        <v>Wed</v>
      </c>
      <c r="O5" s="13" t="str">
        <f>TEXT(WEEKDAY(DATE(CalendarYear,1,13),1),"aaa")</f>
        <v>Thu</v>
      </c>
      <c r="P5" s="13" t="str">
        <f>TEXT(WEEKDAY(DATE(CalendarYear,1,14),1),"aaa")</f>
        <v>Fri</v>
      </c>
      <c r="Q5" s="13" t="str">
        <f>TEXT(WEEKDAY(DATE(CalendarYear,1,15),1),"aaa")</f>
        <v>Sat</v>
      </c>
      <c r="R5" s="13" t="str">
        <f>TEXT(WEEKDAY(DATE(CalendarYear,1,16),1),"aaa")</f>
        <v>Sun</v>
      </c>
      <c r="S5" s="13" t="str">
        <f>TEXT(WEEKDAY(DATE(CalendarYear,1,17),1),"aaa")</f>
        <v>Mon</v>
      </c>
      <c r="T5" s="13" t="str">
        <f>TEXT(WEEKDAY(DATE(CalendarYear,1,18),1),"aaa")</f>
        <v>Tue</v>
      </c>
      <c r="U5" s="13" t="str">
        <f>TEXT(WEEKDAY(DATE(CalendarYear,1,19),1),"aaa")</f>
        <v>Wed</v>
      </c>
      <c r="V5" s="13" t="str">
        <f>TEXT(WEEKDAY(DATE(CalendarYear,1,20),1),"aaa")</f>
        <v>Thu</v>
      </c>
      <c r="W5" s="13" t="str">
        <f>TEXT(WEEKDAY(DATE(CalendarYear,1,21),1),"aaa")</f>
        <v>Fri</v>
      </c>
      <c r="X5" s="13" t="str">
        <f>TEXT(WEEKDAY(DATE(CalendarYear,1,22),1),"aaa")</f>
        <v>Sat</v>
      </c>
      <c r="Y5" s="13" t="str">
        <f>TEXT(WEEKDAY(DATE(CalendarYear,1,23),1),"aaa")</f>
        <v>Sun</v>
      </c>
      <c r="Z5" s="13" t="str">
        <f>TEXT(WEEKDAY(DATE(CalendarYear,1,24),1),"aaa")</f>
        <v>Mon</v>
      </c>
      <c r="AA5" s="13" t="str">
        <f>TEXT(WEEKDAY(DATE(CalendarYear,1,25),1),"aaa")</f>
        <v>Tue</v>
      </c>
      <c r="AB5" s="13" t="str">
        <f>TEXT(WEEKDAY(DATE(CalendarYear,1,26),1),"aaa")</f>
        <v>Wed</v>
      </c>
      <c r="AC5" s="13" t="str">
        <f>TEXT(WEEKDAY(DATE(CalendarYear,1,27),1),"aaa")</f>
        <v>Thu</v>
      </c>
      <c r="AD5" s="13" t="str">
        <f>TEXT(WEEKDAY(DATE(CalendarYear,1,28),1),"aaa")</f>
        <v>Fri</v>
      </c>
      <c r="AE5" s="13" t="str">
        <f>TEXT(WEEKDAY(DATE(CalendarYear,1,29),1),"aaa")</f>
        <v>Sat</v>
      </c>
      <c r="AF5" s="13" t="str">
        <f>TEXT(WEEKDAY(DATE(CalendarYear,1,30),1),"aaa")</f>
        <v>Sun</v>
      </c>
      <c r="AG5" s="13" t="str">
        <f>TEXT(WEEKDAY(DATE(CalendarYear,1,31),1),"aaa")</f>
        <v>Mon</v>
      </c>
      <c r="AH5" s="12"/>
    </row>
    <row r="6" spans="1: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1:34" ht="30" customHeight="1" x14ac:dyDescent="0.2">
      <c r="B7" s="17" t="s">
        <v>4</v>
      </c>
      <c r="C7" s="15"/>
      <c r="D7" s="15"/>
      <c r="E7" s="15" t="s">
        <v>9</v>
      </c>
      <c r="F7" s="15" t="s">
        <v>9</v>
      </c>
      <c r="G7" s="15" t="s">
        <v>9</v>
      </c>
      <c r="H7" s="15" t="s">
        <v>9</v>
      </c>
      <c r="I7" s="15"/>
      <c r="J7" s="15"/>
      <c r="K7" s="15"/>
      <c r="L7" s="15"/>
      <c r="M7" s="15"/>
      <c r="N7" s="15"/>
      <c r="O7" s="15" t="s">
        <v>9</v>
      </c>
      <c r="P7" s="15"/>
      <c r="Q7" s="15"/>
      <c r="R7" s="15"/>
      <c r="S7" s="15"/>
      <c r="T7" s="15"/>
      <c r="U7" s="15"/>
      <c r="V7" s="15"/>
      <c r="W7" s="15"/>
      <c r="X7" s="15"/>
      <c r="Y7" s="15"/>
      <c r="Z7" s="15"/>
      <c r="AA7" s="15"/>
      <c r="AB7" s="15"/>
      <c r="AC7" s="15"/>
      <c r="AD7" s="15"/>
      <c r="AE7" s="15"/>
      <c r="AF7" s="15"/>
      <c r="AG7" s="15"/>
      <c r="AH7" s="18">
        <f>COUNTA(January!$C7:$AG7)</f>
        <v>5</v>
      </c>
    </row>
    <row r="8" spans="1:34" ht="30" customHeight="1" x14ac:dyDescent="0.2">
      <c r="B8" s="17" t="s">
        <v>5</v>
      </c>
      <c r="C8" s="15"/>
      <c r="D8" s="15"/>
      <c r="E8" s="15"/>
      <c r="F8" s="15"/>
      <c r="G8" s="15" t="s">
        <v>17</v>
      </c>
      <c r="H8" s="15" t="s">
        <v>17</v>
      </c>
      <c r="I8" s="15"/>
      <c r="J8" s="15"/>
      <c r="K8" s="15"/>
      <c r="L8" s="15"/>
      <c r="M8" s="15" t="s">
        <v>15</v>
      </c>
      <c r="N8" s="15"/>
      <c r="O8" s="15"/>
      <c r="P8" s="15"/>
      <c r="Q8" s="15"/>
      <c r="R8" s="15"/>
      <c r="S8" s="15"/>
      <c r="T8" s="15"/>
      <c r="U8" s="15"/>
      <c r="V8" s="15" t="s">
        <v>17</v>
      </c>
      <c r="W8" s="15"/>
      <c r="X8" s="15"/>
      <c r="Y8" s="15"/>
      <c r="Z8" s="15"/>
      <c r="AA8" s="15" t="s">
        <v>9</v>
      </c>
      <c r="AB8" s="15" t="s">
        <v>9</v>
      </c>
      <c r="AC8" s="15" t="s">
        <v>9</v>
      </c>
      <c r="AD8" s="15"/>
      <c r="AE8" s="15"/>
      <c r="AF8" s="15"/>
      <c r="AG8" s="15"/>
      <c r="AH8" s="18">
        <f>COUNTA(January!$C8:$AG8)</f>
        <v>7</v>
      </c>
    </row>
    <row r="9" spans="1:34" ht="30" customHeight="1" x14ac:dyDescent="0.2">
      <c r="B9" s="17" t="s">
        <v>6</v>
      </c>
      <c r="C9" s="15"/>
      <c r="D9" s="15"/>
      <c r="E9" s="15" t="s">
        <v>15</v>
      </c>
      <c r="F9" s="15"/>
      <c r="G9" s="15"/>
      <c r="H9" s="15"/>
      <c r="I9" s="15"/>
      <c r="J9" s="15"/>
      <c r="K9" s="15"/>
      <c r="L9" s="15"/>
      <c r="M9" s="15"/>
      <c r="N9" s="15"/>
      <c r="O9" s="15"/>
      <c r="P9" s="15" t="s">
        <v>17</v>
      </c>
      <c r="Q9" s="15"/>
      <c r="R9" s="15"/>
      <c r="S9" s="15"/>
      <c r="T9" s="15"/>
      <c r="U9" s="15"/>
      <c r="V9" s="15"/>
      <c r="W9" s="15"/>
      <c r="X9" s="15"/>
      <c r="Y9" s="15"/>
      <c r="Z9" s="15"/>
      <c r="AA9" s="15"/>
      <c r="AB9" s="15"/>
      <c r="AC9" s="15"/>
      <c r="AD9" s="15"/>
      <c r="AE9" s="15" t="s">
        <v>17</v>
      </c>
      <c r="AF9" s="15"/>
      <c r="AG9" s="15"/>
      <c r="AH9" s="18">
        <f>COUNTA(January!$C9:$AG9)</f>
        <v>3</v>
      </c>
    </row>
    <row r="10" spans="1:34" ht="30" customHeight="1" x14ac:dyDescent="0.2">
      <c r="B10" s="17" t="s">
        <v>7</v>
      </c>
      <c r="C10" s="15"/>
      <c r="D10" s="15"/>
      <c r="E10" s="15"/>
      <c r="F10" s="15"/>
      <c r="G10" s="15"/>
      <c r="H10" s="15"/>
      <c r="I10" s="15" t="s">
        <v>15</v>
      </c>
      <c r="J10" s="15"/>
      <c r="K10" s="15"/>
      <c r="L10" s="15"/>
      <c r="M10" s="15"/>
      <c r="N10" s="15"/>
      <c r="O10" s="15"/>
      <c r="P10" s="15"/>
      <c r="Q10" s="15"/>
      <c r="R10" s="15"/>
      <c r="S10" s="15"/>
      <c r="T10" s="15"/>
      <c r="U10" s="15" t="s">
        <v>9</v>
      </c>
      <c r="V10" s="15" t="s">
        <v>9</v>
      </c>
      <c r="W10" s="15" t="s">
        <v>9</v>
      </c>
      <c r="X10" s="15"/>
      <c r="Y10" s="15"/>
      <c r="Z10" s="15"/>
      <c r="AA10" s="15"/>
      <c r="AB10" s="15"/>
      <c r="AC10" s="15"/>
      <c r="AD10" s="15"/>
      <c r="AE10" s="15"/>
      <c r="AF10" s="15"/>
      <c r="AG10" s="15"/>
      <c r="AH10" s="18">
        <f>COUNTA(January!$C10:$AG10)</f>
        <v>4</v>
      </c>
    </row>
    <row r="11" spans="1:34" ht="30" customHeight="1" x14ac:dyDescent="0.2">
      <c r="B11" s="17" t="s">
        <v>8</v>
      </c>
      <c r="C11" s="15"/>
      <c r="D11" s="15"/>
      <c r="E11" s="15"/>
      <c r="F11" s="15" t="s">
        <v>17</v>
      </c>
      <c r="G11" s="15" t="s">
        <v>9</v>
      </c>
      <c r="H11" s="15" t="s">
        <v>9</v>
      </c>
      <c r="I11" s="15"/>
      <c r="J11" s="15"/>
      <c r="K11" s="15"/>
      <c r="L11" s="15"/>
      <c r="M11" s="15"/>
      <c r="N11" s="15"/>
      <c r="O11" s="15"/>
      <c r="P11" s="15"/>
      <c r="Q11" s="15"/>
      <c r="R11" s="15"/>
      <c r="S11" s="15" t="s">
        <v>17</v>
      </c>
      <c r="T11" s="15"/>
      <c r="U11" s="15"/>
      <c r="V11" s="15"/>
      <c r="W11" s="15"/>
      <c r="X11" s="15"/>
      <c r="Y11" s="15"/>
      <c r="Z11" s="15" t="s">
        <v>17</v>
      </c>
      <c r="AA11" s="15"/>
      <c r="AB11" s="15"/>
      <c r="AC11" s="15"/>
      <c r="AD11" s="15"/>
      <c r="AE11" s="15"/>
      <c r="AF11" s="15"/>
      <c r="AG11" s="15" t="s">
        <v>9</v>
      </c>
      <c r="AH11" s="18">
        <f>COUNTA(January!$C11:$AG11)</f>
        <v>6</v>
      </c>
    </row>
    <row r="12" spans="1:34" ht="30" customHeight="1" x14ac:dyDescent="0.2">
      <c r="B12" s="19" t="str">
        <f>MonthName&amp;" Total"</f>
        <v>January Total</v>
      </c>
      <c r="C12" s="20">
        <f>SUBTOTAL(103,January!$C$7:$C$11)</f>
        <v>0</v>
      </c>
      <c r="D12" s="20">
        <f>SUBTOTAL(103,January!$D$7:$D$11)</f>
        <v>0</v>
      </c>
      <c r="E12" s="20">
        <f>SUBTOTAL(103,January!$E$7:$E$11)</f>
        <v>2</v>
      </c>
      <c r="F12" s="20">
        <f>SUBTOTAL(103,January!$F$7:$F$11)</f>
        <v>2</v>
      </c>
      <c r="G12" s="20">
        <f>SUBTOTAL(103,January!$G$7:$G$11)</f>
        <v>3</v>
      </c>
      <c r="H12" s="20">
        <f>SUBTOTAL(103,January!$H$7:$H$11)</f>
        <v>3</v>
      </c>
      <c r="I12" s="20">
        <f>SUBTOTAL(103,January!$I$7:$I$11)</f>
        <v>1</v>
      </c>
      <c r="J12" s="20">
        <f>SUBTOTAL(103,January!$J$7:$J$11)</f>
        <v>0</v>
      </c>
      <c r="K12" s="20">
        <f>SUBTOTAL(103,January!$K$7:$K$11)</f>
        <v>0</v>
      </c>
      <c r="L12" s="20">
        <f>SUBTOTAL(103,January!$L$7:$L$11)</f>
        <v>0</v>
      </c>
      <c r="M12" s="20">
        <f>SUBTOTAL(103,January!$M$7:$M$11)</f>
        <v>1</v>
      </c>
      <c r="N12" s="20">
        <f>SUBTOTAL(103,January!$N$7:$N$11)</f>
        <v>0</v>
      </c>
      <c r="O12" s="20">
        <f>SUBTOTAL(103,January!$O$7:$O$11)</f>
        <v>1</v>
      </c>
      <c r="P12" s="20">
        <f>SUBTOTAL(103,January!$P$7:$P$11)</f>
        <v>1</v>
      </c>
      <c r="Q12" s="20">
        <f>SUBTOTAL(103,January!$Q$7:$Q$11)</f>
        <v>0</v>
      </c>
      <c r="R12" s="20">
        <f>SUBTOTAL(103,January!$R$7:$R$11)</f>
        <v>0</v>
      </c>
      <c r="S12" s="20">
        <f>SUBTOTAL(103,January!$S$7:$S$11)</f>
        <v>1</v>
      </c>
      <c r="T12" s="20">
        <f>SUBTOTAL(103,January!$T$7:$T$11)</f>
        <v>0</v>
      </c>
      <c r="U12" s="20">
        <f>SUBTOTAL(103,January!$U$7:$U$11)</f>
        <v>1</v>
      </c>
      <c r="V12" s="20">
        <f>SUBTOTAL(103,January!$V$7:$V$11)</f>
        <v>2</v>
      </c>
      <c r="W12" s="20">
        <f>SUBTOTAL(103,January!$W$7:$W$11)</f>
        <v>1</v>
      </c>
      <c r="X12" s="20">
        <f>SUBTOTAL(103,January!$X$7:$X$11)</f>
        <v>0</v>
      </c>
      <c r="Y12" s="20">
        <f>SUBTOTAL(103,January!$Y$7:$Y$11)</f>
        <v>0</v>
      </c>
      <c r="Z12" s="20">
        <f>SUBTOTAL(103,January!$Z$7:$Z$11)</f>
        <v>1</v>
      </c>
      <c r="AA12" s="20">
        <f>SUBTOTAL(103,January!$AA$7:$AA$11)</f>
        <v>1</v>
      </c>
      <c r="AB12" s="20">
        <f>SUBTOTAL(103,January!$AB$7:$AB$11)</f>
        <v>1</v>
      </c>
      <c r="AC12" s="20">
        <f>SUBTOTAL(103,January!$AC$7:$AC$11)</f>
        <v>1</v>
      </c>
      <c r="AD12" s="20">
        <f>SUBTOTAL(103,January!$AD$7:$AD$11)</f>
        <v>0</v>
      </c>
      <c r="AE12" s="20">
        <f>SUBTOTAL(103,January!$AE$7:$AE$11)</f>
        <v>1</v>
      </c>
      <c r="AF12" s="20">
        <f>SUBTOTAL(103,January!$AF$7:$AF$11)</f>
        <v>0</v>
      </c>
      <c r="AG12" s="20">
        <f>SUBTOTAL(103,January!$AG$7:$AG$11)</f>
        <v>1</v>
      </c>
      <c r="AH12" s="20">
        <f>SUBTOTAL(109,January[Total Days])</f>
        <v>25</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892" priority="6" stopIfTrue="1">
      <formula>C7=KeyCustom2</formula>
    </cfRule>
    <cfRule type="expression" dxfId="891" priority="7" stopIfTrue="1">
      <formula>C7=KeyCustom1</formula>
    </cfRule>
    <cfRule type="expression" dxfId="890" priority="8" stopIfTrue="1">
      <formula>C7=KeySick</formula>
    </cfRule>
    <cfRule type="expression" dxfId="889" priority="9" stopIfTrue="1">
      <formula>C7=KeyPersonal</formula>
    </cfRule>
    <cfRule type="expression" dxfId="888" priority="10" stopIfTrue="1">
      <formula>C7=KeyHoliday</formula>
    </cfRule>
  </conditionalFormatting>
  <conditionalFormatting sqref="AH7:AH11">
    <cfRule type="dataBar" priority="168">
      <dataBar>
        <cfvo type="num" val="0"/>
        <cfvo type="num" val="31"/>
        <color theme="2" tint="-0.249977111117893"/>
      </dataBar>
      <extLst>
        <ext xmlns:x14="http://schemas.microsoft.com/office/spreadsheetml/2009/9/main" uri="{B025F937-C7B1-47D3-B67F-A62EFF666E3E}">
          <x14:id>{ECCE2C3C-1B01-4700-B60E-DAAAB19A9C1A}</x14:id>
        </ext>
      </extLst>
    </cfRule>
  </conditionalFormatting>
  <dataValidations count="15">
    <dataValidation allowBlank="1" showInputMessage="1" showErrorMessage="1" prompt="Enter year in this cell" sqref="AH4" xr:uid="{00000000-0002-0000-0000-000000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000-000001000000}"/>
    <dataValidation allowBlank="1" showInputMessage="1" showErrorMessage="1" prompt="Days of the month in this row are automatically generated. Enter an employee's absence and absence type in each column for each day of the month. Blank means no absence" sqref="C6" xr:uid="{00000000-0002-0000-0000-000002000000}"/>
    <dataValidation allowBlank="1" showInputMessage="1" showErrorMessage="1" prompt="Weekdays in this row are automatically updated for the month according to the year entered in AH4. Each day of the month is a column to note an employee's absence and absence type" sqref="C5" xr:uid="{00000000-0002-0000-0000-000003000000}"/>
    <dataValidation allowBlank="1" showInputMessage="1" showErrorMessage="1" prompt="Automatically calculates total number of days an employee was absent this month" sqref="AH6" xr:uid="{00000000-0002-0000-0000-000004000000}"/>
    <dataValidation allowBlank="1" showInputMessage="1" showErrorMessage="1" prompt="Title of the worksheet is in this cell. Update the title and each worksheet will automatically inherit the change" sqref="B1" xr:uid="{00000000-0002-0000-0000-000005000000}"/>
    <dataValidation allowBlank="1" showInputMessage="1" showErrorMessage="1" prompt="Month of this absence schedule. Update the year in cell AH4. Track totals by month in the last cell of the table. Enter employee names in table column B" sqref="B4" xr:uid="{00000000-0002-0000-0000-000006000000}"/>
    <dataValidation allowBlank="1" showInputMessage="1" showErrorMessage="1" prompt="This row defines the keys used in the table: cell C2 is Holiday, G2 is Personal &amp; K2 is Sick leave. Cells N2 &amp; R2 are customisable " sqref="B2" xr:uid="{00000000-0002-0000-0000-000007000000}"/>
    <dataValidation allowBlank="1" showInputMessage="1" showErrorMessage="1" prompt="The letter &quot;H&quot; indicates absence due to holiday" sqref="C2" xr:uid="{00000000-0002-0000-0000-000008000000}"/>
    <dataValidation allowBlank="1" showInputMessage="1" showErrorMessage="1" prompt="The letter &quot;P&quot; indicates absence due to personal reasons" sqref="G2" xr:uid="{00000000-0002-0000-0000-000009000000}"/>
    <dataValidation allowBlank="1" showInputMessage="1" showErrorMessage="1" prompt="The letter &quot;S&quot; indicates absence due to illness" sqref="K2" xr:uid="{00000000-0002-0000-0000-00000A000000}"/>
    <dataValidation allowBlank="1" showInputMessage="1" showErrorMessage="1" prompt="Enter a letter and customise the label to the right to add another key item" sqref="N2 R2" xr:uid="{00000000-0002-0000-0000-00000B000000}"/>
    <dataValidation allowBlank="1" showInputMessage="1" showErrorMessage="1" prompt="Enter a label to describe the custom key to the left" sqref="O2:Q2 S2:U2" xr:uid="{00000000-0002-0000-0000-00000C000000}"/>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3" xr:uid="{00000000-0002-0000-0000-00000E000000}"/>
  </dataValidations>
  <printOptions horizontalCentered="1"/>
  <pageMargins left="0.25" right="0.25" top="0.75" bottom="0.75" header="0.3" footer="0.3"/>
  <pageSetup paperSize="9" scale="75"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num">
                <xm:f>0</xm:f>
              </x14:cfvo>
              <x14:cfvo type="num">
                <xm:f>31</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'Employee Names'!$B$4:$B$8</xm:f>
          </x14:formula1>
          <xm:sqref>B7:B11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AH12"/>
  <sheetViews>
    <sheetView showGridLines="0" zoomScaleNormal="100" workbookViewId="0">
      <selection activeCell="B1" sqref="B1"/>
    </sheetView>
  </sheetViews>
  <sheetFormatPr baseColWidth="10" defaultColWidth="9.16406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9.1640625" style="4"/>
  </cols>
  <sheetData>
    <row r="1" spans="2:34" ht="50" customHeight="1" x14ac:dyDescent="0.2">
      <c r="B1" s="21"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4"/>
    </row>
    <row r="4" spans="2:34" ht="30" customHeight="1" x14ac:dyDescent="0.2">
      <c r="B4" s="12" t="s">
        <v>51</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TEXT(WEEKDAY(DATE(CalendarYear,2,1),1),"aaa")</f>
        <v>Tue</v>
      </c>
      <c r="D5" s="13" t="str">
        <f>TEXT(WEEKDAY(DATE(CalendarYear,2,2),1),"aaa")</f>
        <v>Wed</v>
      </c>
      <c r="E5" s="13" t="str">
        <f>TEXT(WEEKDAY(DATE(CalendarYear,2,3),1),"aaa")</f>
        <v>Thu</v>
      </c>
      <c r="F5" s="13" t="str">
        <f>TEXT(WEEKDAY(DATE(CalendarYear,2,4),1),"aaa")</f>
        <v>Fri</v>
      </c>
      <c r="G5" s="13" t="str">
        <f>TEXT(WEEKDAY(DATE(CalendarYear,2,5),1),"aaa")</f>
        <v>Sat</v>
      </c>
      <c r="H5" s="13" t="str">
        <f>TEXT(WEEKDAY(DATE(CalendarYear,2,6),1),"aaa")</f>
        <v>Sun</v>
      </c>
      <c r="I5" s="13" t="str">
        <f>TEXT(WEEKDAY(DATE(CalendarYear,2,7),1),"aaa")</f>
        <v>Mon</v>
      </c>
      <c r="J5" s="13" t="str">
        <f>TEXT(WEEKDAY(DATE(CalendarYear,2,8),1),"aaa")</f>
        <v>Tue</v>
      </c>
      <c r="K5" s="13" t="str">
        <f>TEXT(WEEKDAY(DATE(CalendarYear,2,9),1),"aaa")</f>
        <v>Wed</v>
      </c>
      <c r="L5" s="13" t="str">
        <f>TEXT(WEEKDAY(DATE(CalendarYear,2,10),1),"aaa")</f>
        <v>Thu</v>
      </c>
      <c r="M5" s="13" t="str">
        <f>TEXT(WEEKDAY(DATE(CalendarYear,2,11),1),"aaa")</f>
        <v>Fri</v>
      </c>
      <c r="N5" s="13" t="str">
        <f>TEXT(WEEKDAY(DATE(CalendarYear,2,12),1),"aaa")</f>
        <v>Sat</v>
      </c>
      <c r="O5" s="13" t="str">
        <f>TEXT(WEEKDAY(DATE(CalendarYear,2,13),1),"aaa")</f>
        <v>Sun</v>
      </c>
      <c r="P5" s="13" t="str">
        <f>TEXT(WEEKDAY(DATE(CalendarYear,2,14),1),"aaa")</f>
        <v>Mon</v>
      </c>
      <c r="Q5" s="13" t="str">
        <f>TEXT(WEEKDAY(DATE(CalendarYear,2,15),1),"aaa")</f>
        <v>Tue</v>
      </c>
      <c r="R5" s="13" t="str">
        <f>TEXT(WEEKDAY(DATE(CalendarYear,2,16),1),"aaa")</f>
        <v>Wed</v>
      </c>
      <c r="S5" s="13" t="str">
        <f>TEXT(WEEKDAY(DATE(CalendarYear,2,17),1),"aaa")</f>
        <v>Thu</v>
      </c>
      <c r="T5" s="13" t="str">
        <f>TEXT(WEEKDAY(DATE(CalendarYear,2,18),1),"aaa")</f>
        <v>Fri</v>
      </c>
      <c r="U5" s="13" t="str">
        <f>TEXT(WEEKDAY(DATE(CalendarYear,2,19),1),"aaa")</f>
        <v>Sat</v>
      </c>
      <c r="V5" s="13" t="str">
        <f>TEXT(WEEKDAY(DATE(CalendarYear,2,20),1),"aaa")</f>
        <v>Sun</v>
      </c>
      <c r="W5" s="13" t="str">
        <f>TEXT(WEEKDAY(DATE(CalendarYear,2,21),1),"aaa")</f>
        <v>Mon</v>
      </c>
      <c r="X5" s="13" t="str">
        <f>TEXT(WEEKDAY(DATE(CalendarYear,2,22),1),"aaa")</f>
        <v>Tue</v>
      </c>
      <c r="Y5" s="13" t="str">
        <f>TEXT(WEEKDAY(DATE(CalendarYear,2,23),1),"aaa")</f>
        <v>Wed</v>
      </c>
      <c r="Z5" s="13" t="str">
        <f>TEXT(WEEKDAY(DATE(CalendarYear,2,24),1),"aaa")</f>
        <v>Thu</v>
      </c>
      <c r="AA5" s="13" t="str">
        <f>TEXT(WEEKDAY(DATE(CalendarYear,2,25),1),"aaa")</f>
        <v>Fri</v>
      </c>
      <c r="AB5" s="13" t="str">
        <f>TEXT(WEEKDAY(DATE(CalendarYear,2,26),1),"aaa")</f>
        <v>Sat</v>
      </c>
      <c r="AC5" s="13" t="str">
        <f>TEXT(WEEKDAY(DATE(CalendarYear,2,27),1),"aaa")</f>
        <v>Sun</v>
      </c>
      <c r="AD5" s="13" t="str">
        <f>TEXT(WEEKDAY(DATE(CalendarYear,2,28),1),"aaa")</f>
        <v>Mon</v>
      </c>
      <c r="AE5" s="13" t="str">
        <f>TEXT(WEEKDAY(DATE(CalendarYear,2,29),1),"aaa")</f>
        <v>Tue</v>
      </c>
      <c r="AF5" s="13"/>
      <c r="AG5" s="13"/>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52</v>
      </c>
      <c r="AG6" s="15" t="s">
        <v>53</v>
      </c>
      <c r="AH6" s="16" t="s">
        <v>50</v>
      </c>
    </row>
    <row r="7" spans="2:34" ht="30" customHeight="1" x14ac:dyDescent="0.2">
      <c r="B7" s="22" t="s">
        <v>4</v>
      </c>
      <c r="C7" s="15"/>
      <c r="D7" s="15"/>
      <c r="E7" s="15" t="s">
        <v>9</v>
      </c>
      <c r="F7" s="15" t="s">
        <v>9</v>
      </c>
      <c r="G7" s="15" t="s">
        <v>9</v>
      </c>
      <c r="H7" s="15" t="s">
        <v>9</v>
      </c>
      <c r="I7" s="15"/>
      <c r="J7" s="15"/>
      <c r="K7" s="15"/>
      <c r="L7" s="15"/>
      <c r="M7" s="15"/>
      <c r="N7" s="15"/>
      <c r="O7" s="15" t="s">
        <v>9</v>
      </c>
      <c r="P7" s="15"/>
      <c r="Q7" s="15"/>
      <c r="R7" s="15"/>
      <c r="S7" s="15"/>
      <c r="T7" s="15"/>
      <c r="U7" s="15"/>
      <c r="V7" s="15"/>
      <c r="W7" s="15"/>
      <c r="X7" s="15"/>
      <c r="Y7" s="15"/>
      <c r="Z7" s="15"/>
      <c r="AA7" s="15"/>
      <c r="AB7" s="15"/>
      <c r="AC7" s="15"/>
      <c r="AD7" s="15"/>
      <c r="AE7" s="15"/>
      <c r="AF7" s="15"/>
      <c r="AG7" s="15"/>
      <c r="AH7" s="18">
        <f>COUNTA(February[[#This Row],[1]:[29]])</f>
        <v>5</v>
      </c>
    </row>
    <row r="8" spans="2:34" ht="30" customHeight="1" x14ac:dyDescent="0.2">
      <c r="B8" s="22" t="s">
        <v>5</v>
      </c>
      <c r="C8" s="15"/>
      <c r="D8" s="15"/>
      <c r="E8" s="15"/>
      <c r="F8" s="15"/>
      <c r="G8" s="15" t="s">
        <v>17</v>
      </c>
      <c r="H8" s="15" t="s">
        <v>17</v>
      </c>
      <c r="I8" s="15"/>
      <c r="J8" s="15"/>
      <c r="K8" s="15"/>
      <c r="L8" s="15"/>
      <c r="M8" s="15" t="s">
        <v>15</v>
      </c>
      <c r="N8" s="15"/>
      <c r="O8" s="15"/>
      <c r="P8" s="15"/>
      <c r="Q8" s="15"/>
      <c r="R8" s="15"/>
      <c r="S8" s="15"/>
      <c r="T8" s="15"/>
      <c r="U8" s="15"/>
      <c r="V8" s="15" t="s">
        <v>17</v>
      </c>
      <c r="W8" s="15"/>
      <c r="X8" s="15"/>
      <c r="Y8" s="15"/>
      <c r="Z8" s="15"/>
      <c r="AA8" s="15" t="s">
        <v>9</v>
      </c>
      <c r="AB8" s="15" t="s">
        <v>9</v>
      </c>
      <c r="AC8" s="15" t="s">
        <v>9</v>
      </c>
      <c r="AD8" s="15"/>
      <c r="AE8" s="15"/>
      <c r="AF8" s="15"/>
      <c r="AG8" s="15"/>
      <c r="AH8" s="18">
        <f>COUNTA(February[[#This Row],[1]:[29]])</f>
        <v>7</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COUNTA(February[[#This Row],[1]:[29]])</f>
        <v>0</v>
      </c>
    </row>
    <row r="10" spans="2:34" ht="30" customHeight="1" x14ac:dyDescent="0.2">
      <c r="B10" s="22" t="s">
        <v>7</v>
      </c>
      <c r="C10" s="15"/>
      <c r="D10" s="15"/>
      <c r="E10" s="15" t="s">
        <v>17</v>
      </c>
      <c r="F10" s="15"/>
      <c r="G10" s="15"/>
      <c r="H10" s="15"/>
      <c r="I10" s="15"/>
      <c r="J10" s="15"/>
      <c r="K10" s="15"/>
      <c r="L10" s="15"/>
      <c r="M10" s="15"/>
      <c r="N10" s="15"/>
      <c r="O10" s="15"/>
      <c r="P10" s="15" t="s">
        <v>17</v>
      </c>
      <c r="Q10" s="15"/>
      <c r="R10" s="15"/>
      <c r="S10" s="15"/>
      <c r="T10" s="15" t="s">
        <v>15</v>
      </c>
      <c r="U10" s="15"/>
      <c r="V10" s="15"/>
      <c r="W10" s="15"/>
      <c r="X10" s="15"/>
      <c r="Y10" s="15"/>
      <c r="Z10" s="15"/>
      <c r="AA10" s="15"/>
      <c r="AB10" s="15"/>
      <c r="AC10" s="15"/>
      <c r="AD10" s="15" t="s">
        <v>17</v>
      </c>
      <c r="AE10" s="15"/>
      <c r="AF10" s="15"/>
      <c r="AG10" s="15"/>
      <c r="AH10" s="18">
        <f>COUNTA(February[[#This Row],[1]:[29]])</f>
        <v>4</v>
      </c>
    </row>
    <row r="11" spans="2:34" ht="30" customHeight="1" x14ac:dyDescent="0.2">
      <c r="B11" s="22" t="s">
        <v>8</v>
      </c>
      <c r="C11" s="15"/>
      <c r="D11" s="15"/>
      <c r="E11" s="15"/>
      <c r="F11" s="15"/>
      <c r="G11" s="15"/>
      <c r="H11" s="15"/>
      <c r="I11" s="15"/>
      <c r="J11" s="15" t="s">
        <v>9</v>
      </c>
      <c r="K11" s="15" t="s">
        <v>9</v>
      </c>
      <c r="L11" s="15" t="s">
        <v>9</v>
      </c>
      <c r="M11" s="15" t="s">
        <v>9</v>
      </c>
      <c r="N11" s="15"/>
      <c r="O11" s="15"/>
      <c r="P11" s="15"/>
      <c r="Q11" s="15"/>
      <c r="R11" s="15"/>
      <c r="S11" s="15"/>
      <c r="T11" s="15"/>
      <c r="U11" s="15"/>
      <c r="V11" s="15"/>
      <c r="W11" s="15"/>
      <c r="X11" s="15"/>
      <c r="Y11" s="15"/>
      <c r="Z11" s="15" t="s">
        <v>17</v>
      </c>
      <c r="AA11" s="15"/>
      <c r="AB11" s="15"/>
      <c r="AC11" s="15"/>
      <c r="AD11" s="15"/>
      <c r="AE11" s="15"/>
      <c r="AF11" s="15"/>
      <c r="AG11" s="15"/>
      <c r="AH11" s="18">
        <f>COUNTA(February[[#This Row],[1]:[29]])</f>
        <v>5</v>
      </c>
    </row>
    <row r="12" spans="2:34" ht="30" customHeight="1" x14ac:dyDescent="0.2">
      <c r="B12" s="19" t="str">
        <f>MonthName&amp;" Total"</f>
        <v>February Total</v>
      </c>
      <c r="C12" s="20">
        <f>SUBTOTAL(103,February[1])</f>
        <v>0</v>
      </c>
      <c r="D12" s="20">
        <f>SUBTOTAL(103,February[2])</f>
        <v>0</v>
      </c>
      <c r="E12" s="20">
        <f>SUBTOTAL(103,February[3])</f>
        <v>2</v>
      </c>
      <c r="F12" s="20">
        <f>SUBTOTAL(103,February[4])</f>
        <v>1</v>
      </c>
      <c r="G12" s="20">
        <f>SUBTOTAL(103,February[5])</f>
        <v>2</v>
      </c>
      <c r="H12" s="20">
        <f>SUBTOTAL(103,February[6])</f>
        <v>2</v>
      </c>
      <c r="I12" s="20">
        <f>SUBTOTAL(103,February[7])</f>
        <v>0</v>
      </c>
      <c r="J12" s="20">
        <f>SUBTOTAL(103,February[8])</f>
        <v>1</v>
      </c>
      <c r="K12" s="20">
        <f>SUBTOTAL(103,February[9])</f>
        <v>1</v>
      </c>
      <c r="L12" s="20">
        <f>SUBTOTAL(103,February[10])</f>
        <v>1</v>
      </c>
      <c r="M12" s="20">
        <f>SUBTOTAL(103,February[11])</f>
        <v>2</v>
      </c>
      <c r="N12" s="20">
        <f>SUBTOTAL(103,February[12])</f>
        <v>0</v>
      </c>
      <c r="O12" s="20">
        <f>SUBTOTAL(103,February[13])</f>
        <v>1</v>
      </c>
      <c r="P12" s="20">
        <f>SUBTOTAL(103,February[14])</f>
        <v>1</v>
      </c>
      <c r="Q12" s="20">
        <f>SUBTOTAL(103,February[15])</f>
        <v>0</v>
      </c>
      <c r="R12" s="20">
        <f>SUBTOTAL(103,February[16])</f>
        <v>0</v>
      </c>
      <c r="S12" s="20">
        <f>SUBTOTAL(103,February[17])</f>
        <v>0</v>
      </c>
      <c r="T12" s="20">
        <f>SUBTOTAL(103,February[18])</f>
        <v>1</v>
      </c>
      <c r="U12" s="20">
        <f>SUBTOTAL(103,February[19])</f>
        <v>0</v>
      </c>
      <c r="V12" s="20">
        <f>SUBTOTAL(103,February[20])</f>
        <v>1</v>
      </c>
      <c r="W12" s="20">
        <f>SUBTOTAL(103,February[21])</f>
        <v>0</v>
      </c>
      <c r="X12" s="20">
        <f>SUBTOTAL(103,February[22])</f>
        <v>0</v>
      </c>
      <c r="Y12" s="20">
        <f>SUBTOTAL(103,February[23])</f>
        <v>0</v>
      </c>
      <c r="Z12" s="20">
        <f>SUBTOTAL(103,February[24])</f>
        <v>1</v>
      </c>
      <c r="AA12" s="20">
        <f>SUBTOTAL(103,February[25])</f>
        <v>1</v>
      </c>
      <c r="AB12" s="20">
        <f>SUBTOTAL(103,February[26])</f>
        <v>1</v>
      </c>
      <c r="AC12" s="20">
        <f>SUBTOTAL(103,February[27])</f>
        <v>1</v>
      </c>
      <c r="AD12" s="20">
        <f>SUBTOTAL(103,February[28])</f>
        <v>1</v>
      </c>
      <c r="AE12" s="20">
        <f>SUBTOTAL(103,February[29])</f>
        <v>0</v>
      </c>
      <c r="AF12" s="20"/>
      <c r="AG12" s="20"/>
      <c r="AH12" s="20">
        <f>SUBTOTAL(109,February[Total Days])</f>
        <v>21</v>
      </c>
    </row>
  </sheetData>
  <mergeCells count="6">
    <mergeCell ref="C4:AG4"/>
    <mergeCell ref="D2:F2"/>
    <mergeCell ref="H2:J2"/>
    <mergeCell ref="L2:M2"/>
    <mergeCell ref="O2:Q2"/>
    <mergeCell ref="S2:U2"/>
  </mergeCells>
  <conditionalFormatting sqref="AE6">
    <cfRule type="expression" dxfId="818" priority="16">
      <formula>MONTH(DATE(CalendarYear,2,29))&lt;&gt;2</formula>
    </cfRule>
  </conditionalFormatting>
  <conditionalFormatting sqref="AE5">
    <cfRule type="expression" dxfId="817" priority="15">
      <formula>MONTH(DATE(CalendarYear,2,29))&lt;&gt;2</formula>
    </cfRule>
  </conditionalFormatting>
  <conditionalFormatting sqref="C7:AG11">
    <cfRule type="expression" priority="2" stopIfTrue="1">
      <formula>C7=""</formula>
    </cfRule>
    <cfRule type="expression" dxfId="816" priority="3" stopIfTrue="1">
      <formula>C7=KeyCustom2</formula>
    </cfRule>
  </conditionalFormatting>
  <conditionalFormatting sqref="C7:AG11">
    <cfRule type="expression" dxfId="815" priority="5" stopIfTrue="1">
      <formula>C7=KeyCustom1</formula>
    </cfRule>
    <cfRule type="expression" dxfId="814" priority="6" stopIfTrue="1">
      <formula>C7=KeySick</formula>
    </cfRule>
    <cfRule type="expression" dxfId="813" priority="7" stopIfTrue="1">
      <formula>C7=KeyPersonal</formula>
    </cfRule>
    <cfRule type="expression" dxfId="812" priority="8" stopIfTrue="1">
      <formula>C7=KeyHoliday</formula>
    </cfRule>
  </conditionalFormatting>
  <conditionalFormatting sqref="AH7:AH11">
    <cfRule type="dataBar" priority="153">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dataValidations xWindow="232" yWindow="365" count="14">
    <dataValidation allowBlank="1" showInputMessage="1" showErrorMessage="1" prompt="Automatically updated year based on year entered in January worksheet" sqref="AH4" xr:uid="{00000000-0002-0000-0100-000000000000}"/>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6" xr:uid="{00000000-0002-0000-0100-000002000000}"/>
    <dataValidation allowBlank="1" showInputMessage="1" showErrorMessage="1" prompt="Automatically updated title is in this cell. To modify the title, update B1 on January worksheet" sqref="B1" xr:uid="{00000000-0002-0000-0100-000003000000}"/>
    <dataValidation allowBlank="1" showInputMessage="1" showErrorMessage="1" prompt="Month name for this absence schedule is in this cell. Absence totals for this month are in last cell of the table. Select employee names in table column B" sqref="B4"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100-000005000000}"/>
    <dataValidation allowBlank="1" showInputMessage="1" showErrorMessage="1" prompt="This row defines the keys used in the table: cell C2 is Holiday, G2 is Personal &amp; K2 is Sick leave. Cells N2 &amp; R2 are customisable " sqref="B2" xr:uid="{00000000-0002-0000-0100-000006000000}"/>
    <dataValidation allowBlank="1" showInputMessage="1" showErrorMessage="1" prompt="Enter a label to describe the custom key to the left" sqref="O2:Q2 S2:U2" xr:uid="{00000000-0002-0000-0100-000007000000}"/>
    <dataValidation allowBlank="1" showInputMessage="1" showErrorMessage="1" prompt="Enter a letter and customise the label to the right to add another key item" sqref="N2 R2" xr:uid="{00000000-0002-0000-0100-000008000000}"/>
    <dataValidation allowBlank="1" showInputMessage="1" showErrorMessage="1" prompt="The letter &quot;S&quot; indicates absence due to illness" sqref="K2" xr:uid="{00000000-0002-0000-0100-000009000000}"/>
    <dataValidation allowBlank="1" showInputMessage="1" showErrorMessage="1" prompt="The letter &quot;P&quot; indicates absence due to personal reasons" sqref="G2" xr:uid="{00000000-0002-0000-0100-00000A000000}"/>
    <dataValidation allowBlank="1" showInputMessage="1" showErrorMessage="1" prompt="The letter &quot;H&quot; indicates absence due to holiday" sqref="C2" xr:uid="{00000000-0002-0000-01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1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1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'Employee Names'!$B$4:$B$8</xm:f>
          </x14:formula1>
          <xm:sqref>B7:B11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54</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TEXT(WEEKDAY(DATE(CalendarYear,3,1),1),"aaa")</f>
        <v>Tue</v>
      </c>
      <c r="D5" s="13" t="str">
        <f>TEXT(WEEKDAY(DATE(CalendarYear,3,2),1),"aaa")</f>
        <v>Wed</v>
      </c>
      <c r="E5" s="13" t="str">
        <f>TEXT(WEEKDAY(DATE(CalendarYear,3,3),1),"aaa")</f>
        <v>Thu</v>
      </c>
      <c r="F5" s="13" t="str">
        <f>TEXT(WEEKDAY(DATE(CalendarYear,3,4),1),"aaa")</f>
        <v>Fri</v>
      </c>
      <c r="G5" s="13" t="str">
        <f>TEXT(WEEKDAY(DATE(CalendarYear,3,5),1),"aaa")</f>
        <v>Sat</v>
      </c>
      <c r="H5" s="13" t="str">
        <f>TEXT(WEEKDAY(DATE(CalendarYear,3,6),1),"aaa")</f>
        <v>Sun</v>
      </c>
      <c r="I5" s="13" t="str">
        <f>TEXT(WEEKDAY(DATE(CalendarYear,3,7),1),"aaa")</f>
        <v>Mon</v>
      </c>
      <c r="J5" s="13" t="str">
        <f>TEXT(WEEKDAY(DATE(CalendarYear,3,8),1),"aaa")</f>
        <v>Tue</v>
      </c>
      <c r="K5" s="13" t="str">
        <f>TEXT(WEEKDAY(DATE(CalendarYear,3,9),1),"aaa")</f>
        <v>Wed</v>
      </c>
      <c r="L5" s="13" t="str">
        <f>TEXT(WEEKDAY(DATE(CalendarYear,3,10),1),"aaa")</f>
        <v>Thu</v>
      </c>
      <c r="M5" s="13" t="str">
        <f>TEXT(WEEKDAY(DATE(CalendarYear,3,11),1),"aaa")</f>
        <v>Fri</v>
      </c>
      <c r="N5" s="13" t="str">
        <f>TEXT(WEEKDAY(DATE(CalendarYear,3,12),1),"aaa")</f>
        <v>Sat</v>
      </c>
      <c r="O5" s="13" t="str">
        <f>TEXT(WEEKDAY(DATE(CalendarYear,3,13),1),"aaa")</f>
        <v>Sun</v>
      </c>
      <c r="P5" s="13" t="str">
        <f>TEXT(WEEKDAY(DATE(CalendarYear,3,14),1),"aaa")</f>
        <v>Mon</v>
      </c>
      <c r="Q5" s="13" t="str">
        <f>TEXT(WEEKDAY(DATE(CalendarYear,3,15),1),"aaa")</f>
        <v>Tue</v>
      </c>
      <c r="R5" s="13" t="str">
        <f>TEXT(WEEKDAY(DATE(CalendarYear,3,16),1),"aaa")</f>
        <v>Wed</v>
      </c>
      <c r="S5" s="13" t="str">
        <f>TEXT(WEEKDAY(DATE(CalendarYear,3,17),1),"aaa")</f>
        <v>Thu</v>
      </c>
      <c r="T5" s="13" t="str">
        <f>TEXT(WEEKDAY(DATE(CalendarYear,3,18),1),"aaa")</f>
        <v>Fri</v>
      </c>
      <c r="U5" s="13" t="str">
        <f>TEXT(WEEKDAY(DATE(CalendarYear,3,19),1),"aaa")</f>
        <v>Sat</v>
      </c>
      <c r="V5" s="13" t="str">
        <f>TEXT(WEEKDAY(DATE(CalendarYear,3,20),1),"aaa")</f>
        <v>Sun</v>
      </c>
      <c r="W5" s="13" t="str">
        <f>TEXT(WEEKDAY(DATE(CalendarYear,3,21),1),"aaa")</f>
        <v>Mon</v>
      </c>
      <c r="X5" s="13" t="str">
        <f>TEXT(WEEKDAY(DATE(CalendarYear,3,22),1),"aaa")</f>
        <v>Tue</v>
      </c>
      <c r="Y5" s="13" t="str">
        <f>TEXT(WEEKDAY(DATE(CalendarYear,3,23),1),"aaa")</f>
        <v>Wed</v>
      </c>
      <c r="Z5" s="13" t="str">
        <f>TEXT(WEEKDAY(DATE(CalendarYear,3,24),1),"aaa")</f>
        <v>Thu</v>
      </c>
      <c r="AA5" s="13" t="str">
        <f>TEXT(WEEKDAY(DATE(CalendarYear,3,25),1),"aaa")</f>
        <v>Fri</v>
      </c>
      <c r="AB5" s="13" t="str">
        <f>TEXT(WEEKDAY(DATE(CalendarYear,3,26),1),"aaa")</f>
        <v>Sat</v>
      </c>
      <c r="AC5" s="13" t="str">
        <f>TEXT(WEEKDAY(DATE(CalendarYear,3,27),1),"aaa")</f>
        <v>Sun</v>
      </c>
      <c r="AD5" s="13" t="str">
        <f>TEXT(WEEKDAY(DATE(CalendarYear,3,28),1),"aaa")</f>
        <v>Mon</v>
      </c>
      <c r="AE5" s="13" t="str">
        <f>TEXT(WEEKDAY(DATE(CalendarYear,3,29),1),"aaa")</f>
        <v>Tue</v>
      </c>
      <c r="AF5" s="13" t="str">
        <f>TEXT(WEEKDAY(DATE(CalendarYear,3,30),1),"aaa")</f>
        <v>Wed</v>
      </c>
      <c r="AG5" s="13" t="str">
        <f>TEXT(WEEKDAY(DATE(CalendarYear,3,31),1),"aaa")</f>
        <v>Thu</v>
      </c>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COUNTA(March[[#This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COUNTA(March[[#This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COUNTA(March[[#This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COUNTA(March[[#This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COUNTA(March[[#This Row],[1]:[31]])</f>
        <v>0</v>
      </c>
    </row>
    <row r="12" spans="2:34" ht="30" customHeight="1" x14ac:dyDescent="0.2">
      <c r="B12" s="19" t="str">
        <f>MonthName&amp;" Total"</f>
        <v>March Total</v>
      </c>
      <c r="C12" s="20">
        <f>SUBTOTAL(103,March[1])</f>
        <v>0</v>
      </c>
      <c r="D12" s="20">
        <f>SUBTOTAL(103,March[2])</f>
        <v>0</v>
      </c>
      <c r="E12" s="20">
        <f>SUBTOTAL(103,March[3])</f>
        <v>0</v>
      </c>
      <c r="F12" s="20">
        <f>SUBTOTAL(103,March[4])</f>
        <v>0</v>
      </c>
      <c r="G12" s="20">
        <f>SUBTOTAL(103,March[5])</f>
        <v>0</v>
      </c>
      <c r="H12" s="20">
        <f>SUBTOTAL(103,March[6])</f>
        <v>0</v>
      </c>
      <c r="I12" s="20">
        <f>SUBTOTAL(103,March[7])</f>
        <v>0</v>
      </c>
      <c r="J12" s="20">
        <f>SUBTOTAL(103,March[8])</f>
        <v>0</v>
      </c>
      <c r="K12" s="20">
        <f>SUBTOTAL(103,March[9])</f>
        <v>0</v>
      </c>
      <c r="L12" s="20">
        <f>SUBTOTAL(103,March[10])</f>
        <v>0</v>
      </c>
      <c r="M12" s="20">
        <f>SUBTOTAL(103,March[11])</f>
        <v>0</v>
      </c>
      <c r="N12" s="20">
        <f>SUBTOTAL(103,March[12])</f>
        <v>0</v>
      </c>
      <c r="O12" s="20">
        <f>SUBTOTAL(103,March[13])</f>
        <v>0</v>
      </c>
      <c r="P12" s="20">
        <f>SUBTOTAL(103,March[14])</f>
        <v>0</v>
      </c>
      <c r="Q12" s="20">
        <f>SUBTOTAL(103,March[15])</f>
        <v>0</v>
      </c>
      <c r="R12" s="20">
        <f>SUBTOTAL(103,March[16])</f>
        <v>0</v>
      </c>
      <c r="S12" s="20">
        <f>SUBTOTAL(103,March[17])</f>
        <v>0</v>
      </c>
      <c r="T12" s="20">
        <f>SUBTOTAL(103,March[18])</f>
        <v>0</v>
      </c>
      <c r="U12" s="20">
        <f>SUBTOTAL(103,March[19])</f>
        <v>0</v>
      </c>
      <c r="V12" s="20">
        <f>SUBTOTAL(103,March[20])</f>
        <v>0</v>
      </c>
      <c r="W12" s="20">
        <f>SUBTOTAL(103,March[21])</f>
        <v>0</v>
      </c>
      <c r="X12" s="20">
        <f>SUBTOTAL(103,March[22])</f>
        <v>0</v>
      </c>
      <c r="Y12" s="20">
        <f>SUBTOTAL(103,March[23])</f>
        <v>0</v>
      </c>
      <c r="Z12" s="20">
        <f>SUBTOTAL(103,March[24])</f>
        <v>0</v>
      </c>
      <c r="AA12" s="20">
        <f>SUBTOTAL(103,March[25])</f>
        <v>0</v>
      </c>
      <c r="AB12" s="20">
        <f>SUBTOTAL(103,March[26])</f>
        <v>0</v>
      </c>
      <c r="AC12" s="20">
        <f>SUBTOTAL(103,March[27])</f>
        <v>0</v>
      </c>
      <c r="AD12" s="20">
        <f>SUBTOTAL(103,March[28])</f>
        <v>0</v>
      </c>
      <c r="AE12" s="20">
        <f>SUBTOTAL(103,March[29])</f>
        <v>0</v>
      </c>
      <c r="AF12" s="20">
        <f>SUBTOTAL(103,March[30])</f>
        <v>0</v>
      </c>
      <c r="AG12" s="20">
        <f>SUBTOTAL(109,March[31])</f>
        <v>0</v>
      </c>
      <c r="AH12" s="20">
        <f>SUBTOTAL(109,March[Total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742" priority="2" stopIfTrue="1">
      <formula>C7=KeyCustom2</formula>
    </cfRule>
    <cfRule type="expression" dxfId="741" priority="3" stopIfTrue="1">
      <formula>C7=KeyCustom1</formula>
    </cfRule>
    <cfRule type="expression" dxfId="740" priority="4" stopIfTrue="1">
      <formula>C7=KeySick</formula>
    </cfRule>
    <cfRule type="expression" dxfId="739" priority="5" stopIfTrue="1">
      <formula>C7=KeyPersonal</formula>
    </cfRule>
    <cfRule type="expression" dxfId="738"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200-000000000000}"/>
    <dataValidation allowBlank="1" showInputMessage="1" showErrorMessage="1" prompt="Weekdays in this row are automatically updated for the month according to the year in AH4. Each day of the month is a column to note an employee's absence and absence type" sqref="C5" xr:uid="{00000000-0002-0000-0200-000001000000}"/>
    <dataValidation allowBlank="1" showInputMessage="1" showErrorMessage="1" prompt="Month name for this absence schedule is in this cell. Absence totals for this month are in last cell of the table. Select employee names in table column B" sqref="B4" xr:uid="{00000000-0002-0000-0200-000002000000}"/>
    <dataValidation allowBlank="1" showInputMessage="1" showErrorMessage="1" prompt="This row defines the keys used in the table: cell C2 is Holiday, G2 is Personal &amp; K2 is Sick leave. Cells N2 &amp; R2 are customisable " sqref="B2" xr:uid="{00000000-0002-0000-0200-000003000000}"/>
    <dataValidation allowBlank="1" showInputMessage="1" showErrorMessage="1" prompt="Enter a label to describe the custom key to the left" sqref="O2:Q2 S2:U2" xr:uid="{00000000-0002-0000-0200-000004000000}"/>
    <dataValidation allowBlank="1" showInputMessage="1" showErrorMessage="1" prompt="Enter a letter and customise the label to the right to add another key item" sqref="N2 R2" xr:uid="{00000000-0002-0000-0200-000005000000}"/>
    <dataValidation allowBlank="1" showInputMessage="1" showErrorMessage="1" prompt="The letter &quot;S&quot; indicates absence due to illness" sqref="K2" xr:uid="{00000000-0002-0000-0200-000006000000}"/>
    <dataValidation allowBlank="1" showInputMessage="1" showErrorMessage="1" prompt="The letter &quot;P&quot; indicates absence due to personal reasons" sqref="G2" xr:uid="{00000000-0002-0000-0200-000007000000}"/>
    <dataValidation allowBlank="1" showInputMessage="1" showErrorMessage="1" prompt="The letter &quot;H&quot; indicates absence due to holiday" sqref="C2" xr:uid="{00000000-0002-0000-0200-000008000000}"/>
    <dataValidation allowBlank="1" showInputMessage="1" showErrorMessage="1" prompt="Automatically updated title is in this cell. To modify the title, update B1 on January worksheet" sqref="B1"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200-00000A000000}"/>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6" xr:uid="{00000000-0002-0000-0200-00000C000000}"/>
    <dataValidation allowBlank="1" showInputMessage="1" showErrorMessage="1" prompt="Automatically updated year based on year entered in January worksheet" sqref="AH4" xr:uid="{00000000-0002-0000-02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'Employee Names'!$B$4:$B$8</xm:f>
          </x14:formula1>
          <xm:sqref>B7:B11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55</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TEXT(WEEKDAY(DATE(CalendarYear,4,1),1),"aaa")</f>
        <v>Fri</v>
      </c>
      <c r="D5" s="13" t="str">
        <f>TEXT(WEEKDAY(DATE(CalendarYear,4,2),1),"aaa")</f>
        <v>Sat</v>
      </c>
      <c r="E5" s="13" t="str">
        <f>TEXT(WEEKDAY(DATE(CalendarYear,4,3),1),"aaa")</f>
        <v>Sun</v>
      </c>
      <c r="F5" s="13" t="str">
        <f>TEXT(WEEKDAY(DATE(CalendarYear,4,4),1),"aaa")</f>
        <v>Mon</v>
      </c>
      <c r="G5" s="13" t="str">
        <f>TEXT(WEEKDAY(DATE(CalendarYear,4,5),1),"aaa")</f>
        <v>Tue</v>
      </c>
      <c r="H5" s="13" t="str">
        <f>TEXT(WEEKDAY(DATE(CalendarYear,4,6),1),"aaa")</f>
        <v>Wed</v>
      </c>
      <c r="I5" s="13" t="str">
        <f>TEXT(WEEKDAY(DATE(CalendarYear,4,7),1),"aaa")</f>
        <v>Thu</v>
      </c>
      <c r="J5" s="13" t="str">
        <f>TEXT(WEEKDAY(DATE(CalendarYear,4,8),1),"aaa")</f>
        <v>Fri</v>
      </c>
      <c r="K5" s="13" t="str">
        <f>TEXT(WEEKDAY(DATE(CalendarYear,4,9),1),"aaa")</f>
        <v>Sat</v>
      </c>
      <c r="L5" s="13" t="str">
        <f>TEXT(WEEKDAY(DATE(CalendarYear,4,10),1),"aaa")</f>
        <v>Sun</v>
      </c>
      <c r="M5" s="13" t="str">
        <f>TEXT(WEEKDAY(DATE(CalendarYear,4,11),1),"aaa")</f>
        <v>Mon</v>
      </c>
      <c r="N5" s="13" t="str">
        <f>TEXT(WEEKDAY(DATE(CalendarYear,4,12),1),"aaa")</f>
        <v>Tue</v>
      </c>
      <c r="O5" s="13" t="str">
        <f>TEXT(WEEKDAY(DATE(CalendarYear,4,13),1),"aaa")</f>
        <v>Wed</v>
      </c>
      <c r="P5" s="13" t="str">
        <f>TEXT(WEEKDAY(DATE(CalendarYear,4,14),1),"aaa")</f>
        <v>Thu</v>
      </c>
      <c r="Q5" s="13" t="str">
        <f>TEXT(WEEKDAY(DATE(CalendarYear,4,15),1),"aaa")</f>
        <v>Fri</v>
      </c>
      <c r="R5" s="13" t="str">
        <f>TEXT(WEEKDAY(DATE(CalendarYear,4,16),1),"aaa")</f>
        <v>Sat</v>
      </c>
      <c r="S5" s="13" t="str">
        <f>TEXT(WEEKDAY(DATE(CalendarYear,4,17),1),"aaa")</f>
        <v>Sun</v>
      </c>
      <c r="T5" s="13" t="str">
        <f>TEXT(WEEKDAY(DATE(CalendarYear,4,18),1),"aaa")</f>
        <v>Mon</v>
      </c>
      <c r="U5" s="13" t="str">
        <f>TEXT(WEEKDAY(DATE(CalendarYear,4,19),1),"aaa")</f>
        <v>Tue</v>
      </c>
      <c r="V5" s="13" t="str">
        <f>TEXT(WEEKDAY(DATE(CalendarYear,4,20),1),"aaa")</f>
        <v>Wed</v>
      </c>
      <c r="W5" s="13" t="str">
        <f>TEXT(WEEKDAY(DATE(CalendarYear,4,21),1),"aaa")</f>
        <v>Thu</v>
      </c>
      <c r="X5" s="13" t="str">
        <f>TEXT(WEEKDAY(DATE(CalendarYear,4,22),1),"aaa")</f>
        <v>Fri</v>
      </c>
      <c r="Y5" s="13" t="str">
        <f>TEXT(WEEKDAY(DATE(CalendarYear,4,23),1),"aaa")</f>
        <v>Sat</v>
      </c>
      <c r="Z5" s="13" t="str">
        <f>TEXT(WEEKDAY(DATE(CalendarYear,4,24),1),"aaa")</f>
        <v>Sun</v>
      </c>
      <c r="AA5" s="13" t="str">
        <f>TEXT(WEEKDAY(DATE(CalendarYear,4,25),1),"aaa")</f>
        <v>Mon</v>
      </c>
      <c r="AB5" s="13" t="str">
        <f>TEXT(WEEKDAY(DATE(CalendarYear,4,26),1),"aaa")</f>
        <v>Tue</v>
      </c>
      <c r="AC5" s="13" t="str">
        <f>TEXT(WEEKDAY(DATE(CalendarYear,4,27),1),"aaa")</f>
        <v>Wed</v>
      </c>
      <c r="AD5" s="13" t="str">
        <f>TEXT(WEEKDAY(DATE(CalendarYear,4,28),1),"aaa")</f>
        <v>Thu</v>
      </c>
      <c r="AE5" s="13" t="str">
        <f>TEXT(WEEKDAY(DATE(CalendarYear,4,29),1),"aaa")</f>
        <v>Fri</v>
      </c>
      <c r="AF5" s="13" t="str">
        <f>TEXT(WEEKDAY(DATE(CalendarYear,4,30),1),"aaa")</f>
        <v>Sat</v>
      </c>
      <c r="AG5" s="13"/>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COUNTA(April[[#This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COUNTA(April[[#This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COUNTA(April[[#This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COUNTA(April[[#This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COUNTA(April[[#This Row],[1]:[31]])</f>
        <v>0</v>
      </c>
    </row>
    <row r="12" spans="2:34" ht="30" customHeight="1" x14ac:dyDescent="0.2">
      <c r="B12" s="19" t="str">
        <f>MonthName&amp;" Total"</f>
        <v>April Total</v>
      </c>
      <c r="C12" s="20">
        <f>SUBTOTAL(103,April[1])</f>
        <v>0</v>
      </c>
      <c r="D12" s="20">
        <f>SUBTOTAL(103,April[2])</f>
        <v>0</v>
      </c>
      <c r="E12" s="20">
        <f>SUBTOTAL(103,April[3])</f>
        <v>0</v>
      </c>
      <c r="F12" s="20">
        <f>SUBTOTAL(103,April[4])</f>
        <v>0</v>
      </c>
      <c r="G12" s="20">
        <f>SUBTOTAL(103,April[5])</f>
        <v>0</v>
      </c>
      <c r="H12" s="20">
        <f>SUBTOTAL(103,April[6])</f>
        <v>0</v>
      </c>
      <c r="I12" s="20">
        <f>SUBTOTAL(103,April[7])</f>
        <v>0</v>
      </c>
      <c r="J12" s="20">
        <f>SUBTOTAL(103,April[8])</f>
        <v>0</v>
      </c>
      <c r="K12" s="20">
        <f>SUBTOTAL(103,April[9])</f>
        <v>0</v>
      </c>
      <c r="L12" s="20">
        <f>SUBTOTAL(103,April[10])</f>
        <v>0</v>
      </c>
      <c r="M12" s="20">
        <f>SUBTOTAL(103,April[11])</f>
        <v>0</v>
      </c>
      <c r="N12" s="20">
        <f>SUBTOTAL(103,April[12])</f>
        <v>0</v>
      </c>
      <c r="O12" s="20">
        <f>SUBTOTAL(103,April[13])</f>
        <v>0</v>
      </c>
      <c r="P12" s="20">
        <f>SUBTOTAL(103,April[14])</f>
        <v>0</v>
      </c>
      <c r="Q12" s="20">
        <f>SUBTOTAL(103,April[15])</f>
        <v>0</v>
      </c>
      <c r="R12" s="20">
        <f>SUBTOTAL(103,April[16])</f>
        <v>0</v>
      </c>
      <c r="S12" s="20">
        <f>SUBTOTAL(103,April[17])</f>
        <v>0</v>
      </c>
      <c r="T12" s="20">
        <f>SUBTOTAL(103,April[18])</f>
        <v>0</v>
      </c>
      <c r="U12" s="20">
        <f>SUBTOTAL(103,April[19])</f>
        <v>0</v>
      </c>
      <c r="V12" s="20">
        <f>SUBTOTAL(103,April[20])</f>
        <v>0</v>
      </c>
      <c r="W12" s="20">
        <f>SUBTOTAL(103,April[21])</f>
        <v>0</v>
      </c>
      <c r="X12" s="20">
        <f>SUBTOTAL(103,April[22])</f>
        <v>0</v>
      </c>
      <c r="Y12" s="20">
        <f>SUBTOTAL(103,April[23])</f>
        <v>0</v>
      </c>
      <c r="Z12" s="20">
        <f>SUBTOTAL(103,April[24])</f>
        <v>0</v>
      </c>
      <c r="AA12" s="20">
        <f>SUBTOTAL(103,April[25])</f>
        <v>0</v>
      </c>
      <c r="AB12" s="20">
        <f>SUBTOTAL(103,April[26])</f>
        <v>0</v>
      </c>
      <c r="AC12" s="20">
        <f>SUBTOTAL(103,April[27])</f>
        <v>0</v>
      </c>
      <c r="AD12" s="20">
        <f>SUBTOTAL(103,April[28])</f>
        <v>0</v>
      </c>
      <c r="AE12" s="20">
        <f>SUBTOTAL(103,April[29])</f>
        <v>0</v>
      </c>
      <c r="AF12" s="20">
        <f>SUBTOTAL(109,April[30])</f>
        <v>0</v>
      </c>
      <c r="AG12" s="20">
        <f>SUBTOTAL(109,April[31])</f>
        <v>0</v>
      </c>
      <c r="AH12" s="20">
        <f>SUBTOTAL(109,April[Total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668" priority="2" stopIfTrue="1">
      <formula>C7=KeyCustom2</formula>
    </cfRule>
    <cfRule type="expression" dxfId="667" priority="3" stopIfTrue="1">
      <formula>C7=KeyCustom1</formula>
    </cfRule>
    <cfRule type="expression" dxfId="666" priority="4" stopIfTrue="1">
      <formula>C7=KeySick</formula>
    </cfRule>
    <cfRule type="expression" dxfId="665" priority="5" stopIfTrue="1">
      <formula>C7=KeyPersonal</formula>
    </cfRule>
    <cfRule type="expression" dxfId="664"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{0C86709F-D813-4066-A3F1-C30F11214F4B}</x14:id>
        </ext>
      </extLst>
    </cfRule>
  </conditionalFormatting>
  <dataValidations count="14">
    <dataValidation allowBlank="1" showInputMessage="1" showErrorMessage="1" prompt="Automatically updated year based on year entered in January worksheet" sqref="AH4" xr:uid="{00000000-0002-0000-0300-000000000000}"/>
    <dataValidation allowBlank="1" showInputMessage="1" showErrorMessage="1" prompt="Automatically calculates total number of days an employee was absent this month in this column" sqref="AH6" xr:uid="{00000000-0002-0000-0300-000001000000}"/>
    <dataValidation allowBlank="1" showInputMessage="1" showErrorMessage="1" prompt="Track April absence in this worksheet" sqref="A1" xr:uid="{00000000-0002-0000-03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300-000003000000}"/>
    <dataValidation allowBlank="1" showInputMessage="1" showErrorMessage="1" prompt="Automatically updated title is in this cell. To modify the title, update B1 on January worksheet" sqref="B1" xr:uid="{00000000-0002-0000-0300-000004000000}"/>
    <dataValidation allowBlank="1" showInputMessage="1" showErrorMessage="1" prompt="The letter &quot;H&quot; indicates absence due to holiday" sqref="C2" xr:uid="{00000000-0002-0000-0300-000005000000}"/>
    <dataValidation allowBlank="1" showInputMessage="1" showErrorMessage="1" prompt="The letter &quot;P&quot; indicates absence due to personal reasons" sqref="G2" xr:uid="{00000000-0002-0000-0300-000006000000}"/>
    <dataValidation allowBlank="1" showInputMessage="1" showErrorMessage="1" prompt="The letter &quot;S&quot; indicates absence due to illness" sqref="K2" xr:uid="{00000000-0002-0000-0300-000007000000}"/>
    <dataValidation allowBlank="1" showInputMessage="1" showErrorMessage="1" prompt="Enter a letter and customise the label to the right to add another key item" sqref="N2 R2" xr:uid="{00000000-0002-0000-0300-000008000000}"/>
    <dataValidation allowBlank="1" showInputMessage="1" showErrorMessage="1" prompt="Enter a label to describe the custom key to the left" sqref="O2:Q2 S2:U2" xr:uid="{00000000-0002-0000-0300-000009000000}"/>
    <dataValidation allowBlank="1" showInputMessage="1" showErrorMessage="1" prompt="This row defines the keys used in the table: cell C2 is Holiday, G2 is Personal &amp; K2 is Sick leave. Cells N2 &amp; R2 are customisable " sqref="B2" xr:uid="{00000000-0002-0000-0300-00000A000000}"/>
    <dataValidation allowBlank="1" showInputMessage="1" showErrorMessage="1" prompt="Month name for this absence schedule is in this cell. Absence totals for this month are in last cell of the table. Select employee names in table column B" sqref="B4" xr:uid="{00000000-0002-0000-0300-00000B000000}"/>
    <dataValidation allowBlank="1" showInputMessage="1" showErrorMessage="1" prompt="Days of the month in this row are automatically generated. Enter an employee's absence and absence type in each column for each day of the month. Blank means no absence" sqref="C6" xr:uid="{00000000-0002-0000-03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3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C86709F-D813-4066-A3F1-C30F11214F4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'Employee Names'!$B$4:$B$8</xm:f>
          </x14:formula1>
          <xm:sqref>B7:B11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56</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TEXT(WEEKDAY(DATE(CalendarYear,5,1),1),"aaa")</f>
        <v>Sun</v>
      </c>
      <c r="D5" s="13" t="str">
        <f>TEXT(WEEKDAY(DATE(CalendarYear,5,2),1),"aaa")</f>
        <v>Mon</v>
      </c>
      <c r="E5" s="13" t="str">
        <f>TEXT(WEEKDAY(DATE(CalendarYear,5,3),1),"aaa")</f>
        <v>Tue</v>
      </c>
      <c r="F5" s="13" t="str">
        <f>TEXT(WEEKDAY(DATE(CalendarYear,5,4),1),"aaa")</f>
        <v>Wed</v>
      </c>
      <c r="G5" s="13" t="str">
        <f>TEXT(WEEKDAY(DATE(CalendarYear,5,5),1),"aaa")</f>
        <v>Thu</v>
      </c>
      <c r="H5" s="13" t="str">
        <f>TEXT(WEEKDAY(DATE(CalendarYear,5,6),1),"aaa")</f>
        <v>Fri</v>
      </c>
      <c r="I5" s="13" t="str">
        <f>TEXT(WEEKDAY(DATE(CalendarYear,5,7),1),"aaa")</f>
        <v>Sat</v>
      </c>
      <c r="J5" s="13" t="str">
        <f>TEXT(WEEKDAY(DATE(CalendarYear,5,8),1),"aaa")</f>
        <v>Sun</v>
      </c>
      <c r="K5" s="13" t="str">
        <f>TEXT(WEEKDAY(DATE(CalendarYear,5,9),1),"aaa")</f>
        <v>Mon</v>
      </c>
      <c r="L5" s="13" t="str">
        <f>TEXT(WEEKDAY(DATE(CalendarYear,5,10),1),"aaa")</f>
        <v>Tue</v>
      </c>
      <c r="M5" s="13" t="str">
        <f>TEXT(WEEKDAY(DATE(CalendarYear,5,11),1),"aaa")</f>
        <v>Wed</v>
      </c>
      <c r="N5" s="13" t="str">
        <f>TEXT(WEEKDAY(DATE(CalendarYear,5,12),1),"aaa")</f>
        <v>Thu</v>
      </c>
      <c r="O5" s="13" t="str">
        <f>TEXT(WEEKDAY(DATE(CalendarYear,5,13),1),"aaa")</f>
        <v>Fri</v>
      </c>
      <c r="P5" s="13" t="str">
        <f>TEXT(WEEKDAY(DATE(CalendarYear,5,14),1),"aaa")</f>
        <v>Sat</v>
      </c>
      <c r="Q5" s="13" t="str">
        <f>TEXT(WEEKDAY(DATE(CalendarYear,5,15),1),"aaa")</f>
        <v>Sun</v>
      </c>
      <c r="R5" s="13" t="str">
        <f>TEXT(WEEKDAY(DATE(CalendarYear,5,16),1),"aaa")</f>
        <v>Mon</v>
      </c>
      <c r="S5" s="13" t="str">
        <f>TEXT(WEEKDAY(DATE(CalendarYear,5,17),1),"aaa")</f>
        <v>Tue</v>
      </c>
      <c r="T5" s="13" t="str">
        <f>TEXT(WEEKDAY(DATE(CalendarYear,5,18),1),"aaa")</f>
        <v>Wed</v>
      </c>
      <c r="U5" s="13" t="str">
        <f>TEXT(WEEKDAY(DATE(CalendarYear,5,19),1),"aaa")</f>
        <v>Thu</v>
      </c>
      <c r="V5" s="13" t="str">
        <f>TEXT(WEEKDAY(DATE(CalendarYear,5,20),1),"aaa")</f>
        <v>Fri</v>
      </c>
      <c r="W5" s="13" t="str">
        <f>TEXT(WEEKDAY(DATE(CalendarYear,5,21),1),"aaa")</f>
        <v>Sat</v>
      </c>
      <c r="X5" s="13" t="str">
        <f>TEXT(WEEKDAY(DATE(CalendarYear,5,22),1),"aaa")</f>
        <v>Sun</v>
      </c>
      <c r="Y5" s="13" t="str">
        <f>TEXT(WEEKDAY(DATE(CalendarYear,5,23),1),"aaa")</f>
        <v>Mon</v>
      </c>
      <c r="Z5" s="13" t="str">
        <f>TEXT(WEEKDAY(DATE(CalendarYear,5,24),1),"aaa")</f>
        <v>Tue</v>
      </c>
      <c r="AA5" s="13" t="str">
        <f>TEXT(WEEKDAY(DATE(CalendarYear,5,25),1),"aaa")</f>
        <v>Wed</v>
      </c>
      <c r="AB5" s="13" t="str">
        <f>TEXT(WEEKDAY(DATE(CalendarYear,5,26),1),"aaa")</f>
        <v>Thu</v>
      </c>
      <c r="AC5" s="13" t="str">
        <f>TEXT(WEEKDAY(DATE(CalendarYear,5,27),1),"aaa")</f>
        <v>Fri</v>
      </c>
      <c r="AD5" s="13" t="str">
        <f>TEXT(WEEKDAY(DATE(CalendarYear,5,28),1),"aaa")</f>
        <v>Sat</v>
      </c>
      <c r="AE5" s="13" t="str">
        <f>TEXT(WEEKDAY(DATE(CalendarYear,5,29),1),"aaa")</f>
        <v>Sun</v>
      </c>
      <c r="AF5" s="13" t="str">
        <f>TEXT(WEEKDAY(DATE(CalendarYear,5,30),1),"aaa")</f>
        <v>Mon</v>
      </c>
      <c r="AG5" s="13" t="str">
        <f>TEXT(WEEKDAY(DATE(CalendarYear,5,31),1),"aaa")</f>
        <v>Tue</v>
      </c>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COUNTA(May[[#This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COUNTA(May[[#This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COUNTA(May[[#This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COUNTA(May[[#This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COUNTA(May[[#This Row],[1]:[31]])</f>
        <v>0</v>
      </c>
    </row>
    <row r="12" spans="2:34" ht="30" customHeight="1" x14ac:dyDescent="0.2">
      <c r="B12" s="19" t="str">
        <f>MonthName&amp;" Total"</f>
        <v>May Total</v>
      </c>
      <c r="C12" s="20">
        <f>SUBTOTAL(103,May[1])</f>
        <v>0</v>
      </c>
      <c r="D12" s="20">
        <f>SUBTOTAL(103,May[2])</f>
        <v>0</v>
      </c>
      <c r="E12" s="20">
        <f>SUBTOTAL(103,May[3])</f>
        <v>0</v>
      </c>
      <c r="F12" s="20">
        <f>SUBTOTAL(103,May[4])</f>
        <v>0</v>
      </c>
      <c r="G12" s="20">
        <f>SUBTOTAL(103,May[5])</f>
        <v>0</v>
      </c>
      <c r="H12" s="20">
        <f>SUBTOTAL(103,May[6])</f>
        <v>0</v>
      </c>
      <c r="I12" s="20">
        <f>SUBTOTAL(103,May[7])</f>
        <v>0</v>
      </c>
      <c r="J12" s="20">
        <f>SUBTOTAL(103,May[8])</f>
        <v>0</v>
      </c>
      <c r="K12" s="20">
        <f>SUBTOTAL(103,May[9])</f>
        <v>0</v>
      </c>
      <c r="L12" s="20">
        <f>SUBTOTAL(103,May[10])</f>
        <v>0</v>
      </c>
      <c r="M12" s="20">
        <f>SUBTOTAL(103,May[11])</f>
        <v>0</v>
      </c>
      <c r="N12" s="20">
        <f>SUBTOTAL(103,May[12])</f>
        <v>0</v>
      </c>
      <c r="O12" s="20">
        <f>SUBTOTAL(103,May[13])</f>
        <v>0</v>
      </c>
      <c r="P12" s="20">
        <f>SUBTOTAL(103,May[14])</f>
        <v>0</v>
      </c>
      <c r="Q12" s="20">
        <f>SUBTOTAL(103,May[15])</f>
        <v>0</v>
      </c>
      <c r="R12" s="20">
        <f>SUBTOTAL(103,May[16])</f>
        <v>0</v>
      </c>
      <c r="S12" s="20">
        <f>SUBTOTAL(103,May[17])</f>
        <v>0</v>
      </c>
      <c r="T12" s="20">
        <f>SUBTOTAL(103,May[18])</f>
        <v>0</v>
      </c>
      <c r="U12" s="20">
        <f>SUBTOTAL(103,May[19])</f>
        <v>0</v>
      </c>
      <c r="V12" s="20">
        <f>SUBTOTAL(103,May[20])</f>
        <v>0</v>
      </c>
      <c r="W12" s="20">
        <f>SUBTOTAL(103,May[21])</f>
        <v>0</v>
      </c>
      <c r="X12" s="20">
        <f>SUBTOTAL(103,May[22])</f>
        <v>0</v>
      </c>
      <c r="Y12" s="20">
        <f>SUBTOTAL(103,May[23])</f>
        <v>0</v>
      </c>
      <c r="Z12" s="20">
        <f>SUBTOTAL(103,May[24])</f>
        <v>0</v>
      </c>
      <c r="AA12" s="20">
        <f>SUBTOTAL(103,May[25])</f>
        <v>0</v>
      </c>
      <c r="AB12" s="20">
        <f>SUBTOTAL(103,May[26])</f>
        <v>0</v>
      </c>
      <c r="AC12" s="20">
        <f>SUBTOTAL(103,May[27])</f>
        <v>0</v>
      </c>
      <c r="AD12" s="20">
        <f>SUBTOTAL(103,May[28])</f>
        <v>0</v>
      </c>
      <c r="AE12" s="20">
        <f>SUBTOTAL(103,May[29])</f>
        <v>0</v>
      </c>
      <c r="AF12" s="20">
        <f>SUBTOTAL(109,May[30])</f>
        <v>0</v>
      </c>
      <c r="AG12" s="20">
        <f>SUBTOTAL(109,May[31])</f>
        <v>0</v>
      </c>
      <c r="AH12" s="20">
        <f>SUBTOTAL(109,May[Total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594" priority="2" stopIfTrue="1">
      <formula>C7=KeyCustom2</formula>
    </cfRule>
    <cfRule type="expression" dxfId="593" priority="3" stopIfTrue="1">
      <formula>C7=KeyCustom1</formula>
    </cfRule>
    <cfRule type="expression" dxfId="592" priority="4" stopIfTrue="1">
      <formula>C7=KeySick</formula>
    </cfRule>
    <cfRule type="expression" dxfId="591" priority="5" stopIfTrue="1">
      <formula>C7=KeyPersonal</formula>
    </cfRule>
    <cfRule type="expression" dxfId="590"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{5670947F-8B3C-4A6C-A280-4F5E10811DCE}</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400-000000000000}"/>
    <dataValidation allowBlank="1" showInputMessage="1" showErrorMessage="1" prompt="Month name for this absence schedule is in this cell. Absence totals for this month are in last cell of the table. Select employee names in table column B" sqref="B4" xr:uid="{00000000-0002-0000-0400-000001000000}"/>
    <dataValidation allowBlank="1" showInputMessage="1" showErrorMessage="1" prompt="This row defines the keys used in the table: cell C2 is Holiday, G2 is Personal &amp; K2 is Sick leave. Cells N2 &amp; R2 are customisable " sqref="B2" xr:uid="{00000000-0002-0000-0400-000002000000}"/>
    <dataValidation allowBlank="1" showInputMessage="1" showErrorMessage="1" prompt="Enter a label to describe the custom key to the left" sqref="O2:Q2 S2:U2" xr:uid="{00000000-0002-0000-0400-000003000000}"/>
    <dataValidation allowBlank="1" showInputMessage="1" showErrorMessage="1" prompt="Enter a letter and customise the label to the right to add another key item" sqref="N2 R2" xr:uid="{00000000-0002-0000-0400-000004000000}"/>
    <dataValidation allowBlank="1" showInputMessage="1" showErrorMessage="1" prompt="The letter &quot;S&quot; indicates absence due to illness" sqref="K2" xr:uid="{00000000-0002-0000-0400-000005000000}"/>
    <dataValidation allowBlank="1" showInputMessage="1" showErrorMessage="1" prompt="The letter &quot;P&quot; indicates absence due to personal reasons" sqref="G2" xr:uid="{00000000-0002-0000-0400-000006000000}"/>
    <dataValidation allowBlank="1" showInputMessage="1" showErrorMessage="1" prompt="The letter &quot;H&quot; indicates absence due to holiday" sqref="C2" xr:uid="{00000000-0002-0000-0400-000007000000}"/>
    <dataValidation allowBlank="1" showInputMessage="1" showErrorMessage="1" prompt="Automatically updated title is in this cell. To modify the title, update B1 on January worksheet" sqref="B1" xr:uid="{00000000-0002-0000-04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400-000009000000}"/>
    <dataValidation allowBlank="1" showInputMessage="1" showErrorMessage="1" prompt="Track May absence in this worksheet" sqref="A1" xr:uid="{00000000-0002-0000-0400-00000A000000}"/>
    <dataValidation allowBlank="1" showInputMessage="1" showErrorMessage="1" prompt="Automatically calculates total number of days an employee was absent this month in this column" sqref="AH6" xr:uid="{00000000-0002-0000-0400-00000B000000}"/>
    <dataValidation allowBlank="1" showInputMessage="1" showErrorMessage="1" prompt="Automatically updated year based on year entered in January worksheet" sqref="AH4" xr:uid="{00000000-0002-0000-04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4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670947F-8B3C-4A6C-A280-4F5E10811DCE}">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'Employee Names'!$B$4:$B$8</xm:f>
          </x14:formula1>
          <xm:sqref>B7:B11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57</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TEXT(WEEKDAY(DATE(CalendarYear,6,1),1),"aaa")</f>
        <v>Wed</v>
      </c>
      <c r="D5" s="13" t="str">
        <f>TEXT(WEEKDAY(DATE(CalendarYear,6,2),1),"aaa")</f>
        <v>Thu</v>
      </c>
      <c r="E5" s="13" t="str">
        <f>TEXT(WEEKDAY(DATE(CalendarYear,6,3),1),"aaa")</f>
        <v>Fri</v>
      </c>
      <c r="F5" s="13" t="str">
        <f>TEXT(WEEKDAY(DATE(CalendarYear,6,4),1),"aaa")</f>
        <v>Sat</v>
      </c>
      <c r="G5" s="13" t="str">
        <f>TEXT(WEEKDAY(DATE(CalendarYear,6,5),1),"aaa")</f>
        <v>Sun</v>
      </c>
      <c r="H5" s="13" t="str">
        <f>TEXT(WEEKDAY(DATE(CalendarYear,6,6),1),"aaa")</f>
        <v>Mon</v>
      </c>
      <c r="I5" s="13" t="str">
        <f>TEXT(WEEKDAY(DATE(CalendarYear,6,7),1),"aaa")</f>
        <v>Tue</v>
      </c>
      <c r="J5" s="13" t="str">
        <f>TEXT(WEEKDAY(DATE(CalendarYear,6,8),1),"aaa")</f>
        <v>Wed</v>
      </c>
      <c r="K5" s="13" t="str">
        <f>TEXT(WEEKDAY(DATE(CalendarYear,6,9),1),"aaa")</f>
        <v>Thu</v>
      </c>
      <c r="L5" s="13" t="str">
        <f>TEXT(WEEKDAY(DATE(CalendarYear,6,10),1),"aaa")</f>
        <v>Fri</v>
      </c>
      <c r="M5" s="13" t="str">
        <f>TEXT(WEEKDAY(DATE(CalendarYear,6,11),1),"aaa")</f>
        <v>Sat</v>
      </c>
      <c r="N5" s="13" t="str">
        <f>TEXT(WEEKDAY(DATE(CalendarYear,6,12),1),"aaa")</f>
        <v>Sun</v>
      </c>
      <c r="O5" s="13" t="str">
        <f>TEXT(WEEKDAY(DATE(CalendarYear,6,13),1),"aaa")</f>
        <v>Mon</v>
      </c>
      <c r="P5" s="13" t="str">
        <f>TEXT(WEEKDAY(DATE(CalendarYear,6,14),1),"aaa")</f>
        <v>Tue</v>
      </c>
      <c r="Q5" s="13" t="str">
        <f>TEXT(WEEKDAY(DATE(CalendarYear,6,15),1),"aaa")</f>
        <v>Wed</v>
      </c>
      <c r="R5" s="13" t="str">
        <f>TEXT(WEEKDAY(DATE(CalendarYear,6,16),1),"aaa")</f>
        <v>Thu</v>
      </c>
      <c r="S5" s="13" t="str">
        <f>TEXT(WEEKDAY(DATE(CalendarYear,6,17),1),"aaa")</f>
        <v>Fri</v>
      </c>
      <c r="T5" s="13" t="str">
        <f>TEXT(WEEKDAY(DATE(CalendarYear,6,18),1),"aaa")</f>
        <v>Sat</v>
      </c>
      <c r="U5" s="13" t="str">
        <f>TEXT(WEEKDAY(DATE(CalendarYear,6,19),1),"aaa")</f>
        <v>Sun</v>
      </c>
      <c r="V5" s="13" t="str">
        <f>TEXT(WEEKDAY(DATE(CalendarYear,6,20),1),"aaa")</f>
        <v>Mon</v>
      </c>
      <c r="W5" s="13" t="str">
        <f>TEXT(WEEKDAY(DATE(CalendarYear,6,21),1),"aaa")</f>
        <v>Tue</v>
      </c>
      <c r="X5" s="13" t="str">
        <f>TEXT(WEEKDAY(DATE(CalendarYear,6,22),1),"aaa")</f>
        <v>Wed</v>
      </c>
      <c r="Y5" s="13" t="str">
        <f>TEXT(WEEKDAY(DATE(CalendarYear,6,23),1),"aaa")</f>
        <v>Thu</v>
      </c>
      <c r="Z5" s="13" t="str">
        <f>TEXT(WEEKDAY(DATE(CalendarYear,6,24),1),"aaa")</f>
        <v>Fri</v>
      </c>
      <c r="AA5" s="13" t="str">
        <f>TEXT(WEEKDAY(DATE(CalendarYear,6,25),1),"aaa")</f>
        <v>Sat</v>
      </c>
      <c r="AB5" s="13" t="str">
        <f>TEXT(WEEKDAY(DATE(CalendarYear,6,26),1),"aaa")</f>
        <v>Sun</v>
      </c>
      <c r="AC5" s="13" t="str">
        <f>TEXT(WEEKDAY(DATE(CalendarYear,6,27),1),"aaa")</f>
        <v>Mon</v>
      </c>
      <c r="AD5" s="13" t="str">
        <f>TEXT(WEEKDAY(DATE(CalendarYear,6,28),1),"aaa")</f>
        <v>Tue</v>
      </c>
      <c r="AE5" s="13" t="str">
        <f>TEXT(WEEKDAY(DATE(CalendarYear,6,29),1),"aaa")</f>
        <v>Wed</v>
      </c>
      <c r="AF5" s="13" t="str">
        <f>TEXT(WEEKDAY(DATE(CalendarYear,6,30),1),"aaa")</f>
        <v>Thu</v>
      </c>
      <c r="AG5" s="13"/>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COUNTA(June[[#This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COUNTA(June[[#This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COUNTA(June[[#This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COUNTA(June[[#This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COUNTA(June[[#This Row],[1]:[31]])</f>
        <v>0</v>
      </c>
    </row>
    <row r="12" spans="2:34" ht="30" customHeight="1" x14ac:dyDescent="0.2">
      <c r="B12" s="19" t="str">
        <f>MonthName&amp;" Total"</f>
        <v>June Total</v>
      </c>
      <c r="C12" s="20">
        <f>SUBTOTAL(103,June[1])</f>
        <v>0</v>
      </c>
      <c r="D12" s="20">
        <f>SUBTOTAL(103,June[2])</f>
        <v>0</v>
      </c>
      <c r="E12" s="20">
        <f>SUBTOTAL(103,June[3])</f>
        <v>0</v>
      </c>
      <c r="F12" s="20">
        <f>SUBTOTAL(103,June[4])</f>
        <v>0</v>
      </c>
      <c r="G12" s="20">
        <f>SUBTOTAL(103,June[5])</f>
        <v>0</v>
      </c>
      <c r="H12" s="20">
        <f>SUBTOTAL(103,June[6])</f>
        <v>0</v>
      </c>
      <c r="I12" s="20">
        <f>SUBTOTAL(103,June[7])</f>
        <v>0</v>
      </c>
      <c r="J12" s="20">
        <f>SUBTOTAL(103,June[8])</f>
        <v>0</v>
      </c>
      <c r="K12" s="20">
        <f>SUBTOTAL(103,June[9])</f>
        <v>0</v>
      </c>
      <c r="L12" s="20">
        <f>SUBTOTAL(103,June[10])</f>
        <v>0</v>
      </c>
      <c r="M12" s="20">
        <f>SUBTOTAL(103,June[11])</f>
        <v>0</v>
      </c>
      <c r="N12" s="20">
        <f>SUBTOTAL(103,June[12])</f>
        <v>0</v>
      </c>
      <c r="O12" s="20">
        <f>SUBTOTAL(103,June[13])</f>
        <v>0</v>
      </c>
      <c r="P12" s="20">
        <f>SUBTOTAL(103,June[14])</f>
        <v>0</v>
      </c>
      <c r="Q12" s="20">
        <f>SUBTOTAL(103,June[15])</f>
        <v>0</v>
      </c>
      <c r="R12" s="20">
        <f>SUBTOTAL(103,June[16])</f>
        <v>0</v>
      </c>
      <c r="S12" s="20">
        <f>SUBTOTAL(103,June[17])</f>
        <v>0</v>
      </c>
      <c r="T12" s="20">
        <f>SUBTOTAL(103,June[18])</f>
        <v>0</v>
      </c>
      <c r="U12" s="20">
        <f>SUBTOTAL(103,June[19])</f>
        <v>0</v>
      </c>
      <c r="V12" s="20">
        <f>SUBTOTAL(103,June[20])</f>
        <v>0</v>
      </c>
      <c r="W12" s="20">
        <f>SUBTOTAL(103,June[21])</f>
        <v>0</v>
      </c>
      <c r="X12" s="20">
        <f>SUBTOTAL(103,June[22])</f>
        <v>0</v>
      </c>
      <c r="Y12" s="20">
        <f>SUBTOTAL(103,June[23])</f>
        <v>0</v>
      </c>
      <c r="Z12" s="20">
        <f>SUBTOTAL(103,June[24])</f>
        <v>0</v>
      </c>
      <c r="AA12" s="20">
        <f>SUBTOTAL(103,June[25])</f>
        <v>0</v>
      </c>
      <c r="AB12" s="20">
        <f>SUBTOTAL(103,June[26])</f>
        <v>0</v>
      </c>
      <c r="AC12" s="20">
        <f>SUBTOTAL(103,June[27])</f>
        <v>0</v>
      </c>
      <c r="AD12" s="20">
        <f>SUBTOTAL(103,June[28])</f>
        <v>0</v>
      </c>
      <c r="AE12" s="20">
        <f>SUBTOTAL(103,June[29])</f>
        <v>0</v>
      </c>
      <c r="AF12" s="20">
        <f>SUBTOTAL(109,June[30])</f>
        <v>0</v>
      </c>
      <c r="AG12" s="20">
        <f>SUBTOTAL(109,June[31])</f>
        <v>0</v>
      </c>
      <c r="AH12" s="20">
        <f>SUBTOTAL(109,June[Total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520" priority="2" stopIfTrue="1">
      <formula>C7=KeyCustom2</formula>
    </cfRule>
    <cfRule type="expression" dxfId="519" priority="3" stopIfTrue="1">
      <formula>C7=KeyCustom1</formula>
    </cfRule>
    <cfRule type="expression" dxfId="518" priority="4" stopIfTrue="1">
      <formula>C7=KeySick</formula>
    </cfRule>
    <cfRule type="expression" dxfId="517" priority="5" stopIfTrue="1">
      <formula>C7=KeyPersonal</formula>
    </cfRule>
    <cfRule type="expression" dxfId="516"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500-000000000000}"/>
    <dataValidation allowBlank="1" showInputMessage="1" showErrorMessage="1" prompt="Automatically updated year based on year entered in January worksheet" sqref="AH4" xr:uid="{00000000-0002-0000-0500-000001000000}"/>
    <dataValidation allowBlank="1" showInputMessage="1" showErrorMessage="1" prompt="Automatically calculates total number of days an employee was absent this month in this column" sqref="AH6" xr:uid="{00000000-0002-0000-0500-000002000000}"/>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500-000004000000}"/>
    <dataValidation allowBlank="1" showInputMessage="1" showErrorMessage="1" prompt="Automatically updated title is in this cell. To modify the title, update B1 on January worksheet" sqref="B1" xr:uid="{00000000-0002-0000-0500-000005000000}"/>
    <dataValidation allowBlank="1" showInputMessage="1" showErrorMessage="1" prompt="The letter &quot;H&quot; indicates absence due to holiday" sqref="C2" xr:uid="{00000000-0002-0000-0500-000006000000}"/>
    <dataValidation allowBlank="1" showInputMessage="1" showErrorMessage="1" prompt="The letter &quot;P&quot; indicates absence due to personal reasons" sqref="G2" xr:uid="{00000000-0002-0000-0500-000007000000}"/>
    <dataValidation allowBlank="1" showInputMessage="1" showErrorMessage="1" prompt="The letter &quot;S&quot; indicates absence due to illness" sqref="K2" xr:uid="{00000000-0002-0000-0500-000008000000}"/>
    <dataValidation allowBlank="1" showInputMessage="1" showErrorMessage="1" prompt="Enter a letter and customise the label to the right to add another key item" sqref="N2 R2" xr:uid="{00000000-0002-0000-0500-000009000000}"/>
    <dataValidation allowBlank="1" showInputMessage="1" showErrorMessage="1" prompt="Enter a label to describe the custom key to the left" sqref="O2:Q2 S2:U2" xr:uid="{00000000-0002-0000-0500-00000A000000}"/>
    <dataValidation allowBlank="1" showInputMessage="1" showErrorMessage="1" prompt="This row defines the keys used in the table: cell C2 is Holiday, G2 is Personal &amp; K2 is Sick leave. Cells N2 &amp; R2 are customisable " sqref="B2" xr:uid="{00000000-0002-0000-0500-00000B000000}"/>
    <dataValidation allowBlank="1" showInputMessage="1" showErrorMessage="1" prompt="Month name for this absence schedule is in this cell. Absence totals for this month are in last cell of the table. Select employee names in table column B" sqref="B4"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5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'Employee Names'!$B$4:$B$8</xm:f>
          </x14:formula1>
          <xm:sqref>B7:B11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58</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TEXT(WEEKDAY(DATE(CalendarYear,7,1),1),"aaa")</f>
        <v>Fri</v>
      </c>
      <c r="D5" s="13" t="str">
        <f>TEXT(WEEKDAY(DATE(CalendarYear,7,2),1),"aaa")</f>
        <v>Sat</v>
      </c>
      <c r="E5" s="13" t="str">
        <f>TEXT(WEEKDAY(DATE(CalendarYear,7,3),1),"aaa")</f>
        <v>Sun</v>
      </c>
      <c r="F5" s="13" t="str">
        <f>TEXT(WEEKDAY(DATE(CalendarYear,7,4),1),"aaa")</f>
        <v>Mon</v>
      </c>
      <c r="G5" s="13" t="str">
        <f>TEXT(WEEKDAY(DATE(CalendarYear,7,5),1),"aaa")</f>
        <v>Tue</v>
      </c>
      <c r="H5" s="13" t="str">
        <f>TEXT(WEEKDAY(DATE(CalendarYear,7,6),1),"aaa")</f>
        <v>Wed</v>
      </c>
      <c r="I5" s="13" t="str">
        <f>TEXT(WEEKDAY(DATE(CalendarYear,7,7),1),"aaa")</f>
        <v>Thu</v>
      </c>
      <c r="J5" s="13" t="str">
        <f>TEXT(WEEKDAY(DATE(CalendarYear,7,8),1),"aaa")</f>
        <v>Fri</v>
      </c>
      <c r="K5" s="13" t="str">
        <f>TEXT(WEEKDAY(DATE(CalendarYear,7,9),1),"aaa")</f>
        <v>Sat</v>
      </c>
      <c r="L5" s="13" t="str">
        <f>TEXT(WEEKDAY(DATE(CalendarYear,7,10),1),"aaa")</f>
        <v>Sun</v>
      </c>
      <c r="M5" s="13" t="str">
        <f>TEXT(WEEKDAY(DATE(CalendarYear,7,11),1),"aaa")</f>
        <v>Mon</v>
      </c>
      <c r="N5" s="13" t="str">
        <f>TEXT(WEEKDAY(DATE(CalendarYear,7,12),1),"aaa")</f>
        <v>Tue</v>
      </c>
      <c r="O5" s="13" t="str">
        <f>TEXT(WEEKDAY(DATE(CalendarYear,7,13),1),"aaa")</f>
        <v>Wed</v>
      </c>
      <c r="P5" s="13" t="str">
        <f>TEXT(WEEKDAY(DATE(CalendarYear,7,14),1),"aaa")</f>
        <v>Thu</v>
      </c>
      <c r="Q5" s="13" t="str">
        <f>TEXT(WEEKDAY(DATE(CalendarYear,7,15),1),"aaa")</f>
        <v>Fri</v>
      </c>
      <c r="R5" s="13" t="str">
        <f>TEXT(WEEKDAY(DATE(CalendarYear,7,16),1),"aaa")</f>
        <v>Sat</v>
      </c>
      <c r="S5" s="13" t="str">
        <f>TEXT(WEEKDAY(DATE(CalendarYear,7,17),1),"aaa")</f>
        <v>Sun</v>
      </c>
      <c r="T5" s="13" t="str">
        <f>TEXT(WEEKDAY(DATE(CalendarYear,7,18),1),"aaa")</f>
        <v>Mon</v>
      </c>
      <c r="U5" s="13" t="str">
        <f>TEXT(WEEKDAY(DATE(CalendarYear,7,19),1),"aaa")</f>
        <v>Tue</v>
      </c>
      <c r="V5" s="13" t="str">
        <f>TEXT(WEEKDAY(DATE(CalendarYear,7,20),1),"aaa")</f>
        <v>Wed</v>
      </c>
      <c r="W5" s="13" t="str">
        <f>TEXT(WEEKDAY(DATE(CalendarYear,7,21),1),"aaa")</f>
        <v>Thu</v>
      </c>
      <c r="X5" s="13" t="str">
        <f>TEXT(WEEKDAY(DATE(CalendarYear,7,22),1),"aaa")</f>
        <v>Fri</v>
      </c>
      <c r="Y5" s="13" t="str">
        <f>TEXT(WEEKDAY(DATE(CalendarYear,7,23),1),"aaa")</f>
        <v>Sat</v>
      </c>
      <c r="Z5" s="13" t="str">
        <f>TEXT(WEEKDAY(DATE(CalendarYear,7,24),1),"aaa")</f>
        <v>Sun</v>
      </c>
      <c r="AA5" s="13" t="str">
        <f>TEXT(WEEKDAY(DATE(CalendarYear,7,25),1),"aaa")</f>
        <v>Mon</v>
      </c>
      <c r="AB5" s="13" t="str">
        <f>TEXT(WEEKDAY(DATE(CalendarYear,7,26),1),"aaa")</f>
        <v>Tue</v>
      </c>
      <c r="AC5" s="13" t="str">
        <f>TEXT(WEEKDAY(DATE(CalendarYear,7,27),1),"aaa")</f>
        <v>Wed</v>
      </c>
      <c r="AD5" s="13" t="str">
        <f>TEXT(WEEKDAY(DATE(CalendarYear,7,28),1),"aaa")</f>
        <v>Thu</v>
      </c>
      <c r="AE5" s="13" t="str">
        <f>TEXT(WEEKDAY(DATE(CalendarYear,7,29),1),"aaa")</f>
        <v>Fri</v>
      </c>
      <c r="AF5" s="13" t="str">
        <f>TEXT(WEEKDAY(DATE(CalendarYear,7,30),1),"aaa")</f>
        <v>Sat</v>
      </c>
      <c r="AG5" s="13" t="str">
        <f>TEXT(WEEKDAY(DATE(CalendarYear,7,31),1),"aaa")</f>
        <v>Sun</v>
      </c>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COUNTA(July[[#This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COUNTA(July[[#This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COUNTA(July[[#This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COUNTA(July[[#This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COUNTA(July[[#This Row],[1]:[31]])</f>
        <v>0</v>
      </c>
    </row>
    <row r="12" spans="2:34" ht="30" customHeight="1" x14ac:dyDescent="0.2">
      <c r="B12" s="19" t="str">
        <f>MonthName&amp;" Total"</f>
        <v>July Total</v>
      </c>
      <c r="C12" s="20">
        <f>SUBTOTAL(103,July[1])</f>
        <v>0</v>
      </c>
      <c r="D12" s="20">
        <f>SUBTOTAL(103,July[2])</f>
        <v>0</v>
      </c>
      <c r="E12" s="20">
        <f>SUBTOTAL(103,July[3])</f>
        <v>0</v>
      </c>
      <c r="F12" s="20">
        <f>SUBTOTAL(103,July[4])</f>
        <v>0</v>
      </c>
      <c r="G12" s="20">
        <f>SUBTOTAL(103,July[5])</f>
        <v>0</v>
      </c>
      <c r="H12" s="20">
        <f>SUBTOTAL(103,July[6])</f>
        <v>0</v>
      </c>
      <c r="I12" s="20">
        <f>SUBTOTAL(103,July[7])</f>
        <v>0</v>
      </c>
      <c r="J12" s="20">
        <f>SUBTOTAL(103,July[8])</f>
        <v>0</v>
      </c>
      <c r="K12" s="20">
        <f>SUBTOTAL(103,July[9])</f>
        <v>0</v>
      </c>
      <c r="L12" s="20">
        <f>SUBTOTAL(103,July[10])</f>
        <v>0</v>
      </c>
      <c r="M12" s="20">
        <f>SUBTOTAL(103,July[11])</f>
        <v>0</v>
      </c>
      <c r="N12" s="20">
        <f>SUBTOTAL(103,July[12])</f>
        <v>0</v>
      </c>
      <c r="O12" s="20">
        <f>SUBTOTAL(103,July[13])</f>
        <v>0</v>
      </c>
      <c r="P12" s="20">
        <f>SUBTOTAL(103,July[14])</f>
        <v>0</v>
      </c>
      <c r="Q12" s="20">
        <f>SUBTOTAL(103,July[15])</f>
        <v>0</v>
      </c>
      <c r="R12" s="20">
        <f>SUBTOTAL(103,July[16])</f>
        <v>0</v>
      </c>
      <c r="S12" s="20">
        <f>SUBTOTAL(103,July[17])</f>
        <v>0</v>
      </c>
      <c r="T12" s="20">
        <f>SUBTOTAL(103,July[18])</f>
        <v>0</v>
      </c>
      <c r="U12" s="20">
        <f>SUBTOTAL(103,July[19])</f>
        <v>0</v>
      </c>
      <c r="V12" s="20">
        <f>SUBTOTAL(103,July[20])</f>
        <v>0</v>
      </c>
      <c r="W12" s="20">
        <f>SUBTOTAL(103,July[21])</f>
        <v>0</v>
      </c>
      <c r="X12" s="20">
        <f>SUBTOTAL(103,July[22])</f>
        <v>0</v>
      </c>
      <c r="Y12" s="20">
        <f>SUBTOTAL(103,July[23])</f>
        <v>0</v>
      </c>
      <c r="Z12" s="20">
        <f>SUBTOTAL(103,July[24])</f>
        <v>0</v>
      </c>
      <c r="AA12" s="20">
        <f>SUBTOTAL(103,July[25])</f>
        <v>0</v>
      </c>
      <c r="AB12" s="20">
        <f>SUBTOTAL(103,July[26])</f>
        <v>0</v>
      </c>
      <c r="AC12" s="20">
        <f>SUBTOTAL(103,July[27])</f>
        <v>0</v>
      </c>
      <c r="AD12" s="20">
        <f>SUBTOTAL(103,July[28])</f>
        <v>0</v>
      </c>
      <c r="AE12" s="20">
        <f>SUBTOTAL(103,July[29])</f>
        <v>0</v>
      </c>
      <c r="AF12" s="20">
        <f>SUBTOTAL(109,July[30])</f>
        <v>0</v>
      </c>
      <c r="AG12" s="20">
        <f>SUBTOTAL(109,July[31])</f>
        <v>0</v>
      </c>
      <c r="AH12" s="20">
        <f>SUBTOTAL(109,July[Total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446" priority="2" stopIfTrue="1">
      <formula>C7=KeyCustom2</formula>
    </cfRule>
    <cfRule type="expression" dxfId="445" priority="3" stopIfTrue="1">
      <formula>C7=KeyCustom1</formula>
    </cfRule>
    <cfRule type="expression" dxfId="444" priority="4" stopIfTrue="1">
      <formula>C7=KeySick</formula>
    </cfRule>
    <cfRule type="expression" dxfId="443" priority="5" stopIfTrue="1">
      <formula>C7=KeyPersonal</formula>
    </cfRule>
    <cfRule type="expression" dxfId="442"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600-000000000000}"/>
    <dataValidation allowBlank="1" showInputMessage="1" showErrorMessage="1" prompt="Month name for this absence schedule is in this cell. Absence totals for this month are in last cell of the table. Select employee names in table column B" sqref="B4" xr:uid="{00000000-0002-0000-0600-000001000000}"/>
    <dataValidation allowBlank="1" showInputMessage="1" showErrorMessage="1" prompt="This row defines the keys used in the table: cell C2 is Holiday, G2 is Personal &amp; K2 is Sick leave. Cells N2 &amp; R2 are customisable " sqref="B2" xr:uid="{00000000-0002-0000-0600-000002000000}"/>
    <dataValidation allowBlank="1" showInputMessage="1" showErrorMessage="1" prompt="Enter a label to describe the custom key to the left" sqref="O2:Q2 S2:U2" xr:uid="{00000000-0002-0000-0600-000003000000}"/>
    <dataValidation allowBlank="1" showInputMessage="1" showErrorMessage="1" prompt="Enter a letter and customise the label to the right to add another key item" sqref="N2 R2" xr:uid="{00000000-0002-0000-0600-000004000000}"/>
    <dataValidation allowBlank="1" showInputMessage="1" showErrorMessage="1" prompt="The letter &quot;S&quot; indicates absence due to illness" sqref="K2" xr:uid="{00000000-0002-0000-0600-000005000000}"/>
    <dataValidation allowBlank="1" showInputMessage="1" showErrorMessage="1" prompt="The letter &quot;P&quot; indicates absence due to personal reasons" sqref="G2" xr:uid="{00000000-0002-0000-0600-000006000000}"/>
    <dataValidation allowBlank="1" showInputMessage="1" showErrorMessage="1" prompt="The letter &quot;H&quot; indicates absence due to holiday" sqref="C2" xr:uid="{00000000-0002-0000-0600-000007000000}"/>
    <dataValidation allowBlank="1" showInputMessage="1" showErrorMessage="1" prompt="Automatically updated title is in this cell. To modify the title, update B1 on January worksheet" sqref="B1"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600-000009000000}"/>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6" xr:uid="{00000000-0002-0000-0600-00000B000000}"/>
    <dataValidation allowBlank="1" showInputMessage="1" showErrorMessage="1" prompt="Automatically updated year based on year entered in January worksheet" sqref="AH4" xr:uid="{00000000-0002-0000-06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6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'Employee Names'!$B$4:$B$8</xm:f>
          </x14:formula1>
          <xm:sqref>B7:B11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749992370372631"/>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59</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TEXT(WEEKDAY(DATE(CalendarYear,8,1),1),"aaa")</f>
        <v>Mon</v>
      </c>
      <c r="D5" s="13" t="str">
        <f>TEXT(WEEKDAY(DATE(CalendarYear,8,2),1),"aaa")</f>
        <v>Tue</v>
      </c>
      <c r="E5" s="13" t="str">
        <f>TEXT(WEEKDAY(DATE(CalendarYear,8,3),1),"aaa")</f>
        <v>Wed</v>
      </c>
      <c r="F5" s="13" t="str">
        <f>TEXT(WEEKDAY(DATE(CalendarYear,8,4),1),"aaa")</f>
        <v>Thu</v>
      </c>
      <c r="G5" s="13" t="str">
        <f>TEXT(WEEKDAY(DATE(CalendarYear,8,5),1),"aaa")</f>
        <v>Fri</v>
      </c>
      <c r="H5" s="13" t="str">
        <f>TEXT(WEEKDAY(DATE(CalendarYear,8,6),1),"aaa")</f>
        <v>Sat</v>
      </c>
      <c r="I5" s="13" t="str">
        <f>TEXT(WEEKDAY(DATE(CalendarYear,8,7),1),"aaa")</f>
        <v>Sun</v>
      </c>
      <c r="J5" s="13" t="str">
        <f>TEXT(WEEKDAY(DATE(CalendarYear,8,8),1),"aaa")</f>
        <v>Mon</v>
      </c>
      <c r="K5" s="13" t="str">
        <f>TEXT(WEEKDAY(DATE(CalendarYear,8,9),1),"aaa")</f>
        <v>Tue</v>
      </c>
      <c r="L5" s="13" t="str">
        <f>TEXT(WEEKDAY(DATE(CalendarYear,8,10),1),"aaa")</f>
        <v>Wed</v>
      </c>
      <c r="M5" s="13" t="str">
        <f>TEXT(WEEKDAY(DATE(CalendarYear,8,11),1),"aaa")</f>
        <v>Thu</v>
      </c>
      <c r="N5" s="13" t="str">
        <f>TEXT(WEEKDAY(DATE(CalendarYear,8,12),1),"aaa")</f>
        <v>Fri</v>
      </c>
      <c r="O5" s="13" t="str">
        <f>TEXT(WEEKDAY(DATE(CalendarYear,8,13),1),"aaa")</f>
        <v>Sat</v>
      </c>
      <c r="P5" s="13" t="str">
        <f>TEXT(WEEKDAY(DATE(CalendarYear,8,14),1),"aaa")</f>
        <v>Sun</v>
      </c>
      <c r="Q5" s="13" t="str">
        <f>TEXT(WEEKDAY(DATE(CalendarYear,8,15),1),"aaa")</f>
        <v>Mon</v>
      </c>
      <c r="R5" s="13" t="str">
        <f>TEXT(WEEKDAY(DATE(CalendarYear,8,16),1),"aaa")</f>
        <v>Tue</v>
      </c>
      <c r="S5" s="13" t="str">
        <f>TEXT(WEEKDAY(DATE(CalendarYear,8,17),1),"aaa")</f>
        <v>Wed</v>
      </c>
      <c r="T5" s="13" t="str">
        <f>TEXT(WEEKDAY(DATE(CalendarYear,8,18),1),"aaa")</f>
        <v>Thu</v>
      </c>
      <c r="U5" s="13" t="str">
        <f>TEXT(WEEKDAY(DATE(CalendarYear,8,19),1),"aaa")</f>
        <v>Fri</v>
      </c>
      <c r="V5" s="13" t="str">
        <f>TEXT(WEEKDAY(DATE(CalendarYear,8,20),1),"aaa")</f>
        <v>Sat</v>
      </c>
      <c r="W5" s="13" t="str">
        <f>TEXT(WEEKDAY(DATE(CalendarYear,8,21),1),"aaa")</f>
        <v>Sun</v>
      </c>
      <c r="X5" s="13" t="str">
        <f>TEXT(WEEKDAY(DATE(CalendarYear,8,22),1),"aaa")</f>
        <v>Mon</v>
      </c>
      <c r="Y5" s="13" t="str">
        <f>TEXT(WEEKDAY(DATE(CalendarYear,8,23),1),"aaa")</f>
        <v>Tue</v>
      </c>
      <c r="Z5" s="13" t="str">
        <f>TEXT(WEEKDAY(DATE(CalendarYear,8,24),1),"aaa")</f>
        <v>Wed</v>
      </c>
      <c r="AA5" s="13" t="str">
        <f>TEXT(WEEKDAY(DATE(CalendarYear,8,25),1),"aaa")</f>
        <v>Thu</v>
      </c>
      <c r="AB5" s="13" t="str">
        <f>TEXT(WEEKDAY(DATE(CalendarYear,8,26),1),"aaa")</f>
        <v>Fri</v>
      </c>
      <c r="AC5" s="13" t="str">
        <f>TEXT(WEEKDAY(DATE(CalendarYear,8,27),1),"aaa")</f>
        <v>Sat</v>
      </c>
      <c r="AD5" s="13" t="str">
        <f>TEXT(WEEKDAY(DATE(CalendarYear,8,28),1),"aaa")</f>
        <v>Sun</v>
      </c>
      <c r="AE5" s="13" t="str">
        <f>TEXT(WEEKDAY(DATE(CalendarYear,8,29),1),"aaa")</f>
        <v>Mon</v>
      </c>
      <c r="AF5" s="13" t="str">
        <f>TEXT(WEEKDAY(DATE(CalendarYear,8,30),1),"aaa")</f>
        <v>Tue</v>
      </c>
      <c r="AG5" s="13" t="str">
        <f>TEXT(WEEKDAY(DATE(CalendarYear,8,31),1),"aaa")</f>
        <v>Wed</v>
      </c>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COUNTA(August[[#This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COUNTA(August[[#This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COUNTA(August[[#This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COUNTA(August[[#This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COUNTA(August[[#This Row],[1]:[31]])</f>
        <v>0</v>
      </c>
    </row>
    <row r="12" spans="2:34" ht="30" customHeight="1" x14ac:dyDescent="0.2">
      <c r="B12" s="19" t="str">
        <f>MonthName&amp;" Total"</f>
        <v>August Total</v>
      </c>
      <c r="C12" s="20">
        <f>SUBTOTAL(103,August[1])</f>
        <v>0</v>
      </c>
      <c r="D12" s="20">
        <f>SUBTOTAL(103,August[2])</f>
        <v>0</v>
      </c>
      <c r="E12" s="20">
        <f>SUBTOTAL(103,August[3])</f>
        <v>0</v>
      </c>
      <c r="F12" s="20">
        <f>SUBTOTAL(103,August[4])</f>
        <v>0</v>
      </c>
      <c r="G12" s="20">
        <f>SUBTOTAL(103,August[5])</f>
        <v>0</v>
      </c>
      <c r="H12" s="20">
        <f>SUBTOTAL(103,August[6])</f>
        <v>0</v>
      </c>
      <c r="I12" s="20">
        <f>SUBTOTAL(103,August[7])</f>
        <v>0</v>
      </c>
      <c r="J12" s="20">
        <f>SUBTOTAL(103,August[8])</f>
        <v>0</v>
      </c>
      <c r="K12" s="20">
        <f>SUBTOTAL(103,August[9])</f>
        <v>0</v>
      </c>
      <c r="L12" s="20">
        <f>SUBTOTAL(103,August[10])</f>
        <v>0</v>
      </c>
      <c r="M12" s="20">
        <f>SUBTOTAL(103,August[11])</f>
        <v>0</v>
      </c>
      <c r="N12" s="20">
        <f>SUBTOTAL(103,August[12])</f>
        <v>0</v>
      </c>
      <c r="O12" s="20">
        <f>SUBTOTAL(103,August[13])</f>
        <v>0</v>
      </c>
      <c r="P12" s="20">
        <f>SUBTOTAL(103,August[14])</f>
        <v>0</v>
      </c>
      <c r="Q12" s="20">
        <f>SUBTOTAL(103,August[15])</f>
        <v>0</v>
      </c>
      <c r="R12" s="20">
        <f>SUBTOTAL(103,August[16])</f>
        <v>0</v>
      </c>
      <c r="S12" s="20">
        <f>SUBTOTAL(103,August[17])</f>
        <v>0</v>
      </c>
      <c r="T12" s="20">
        <f>SUBTOTAL(103,August[18])</f>
        <v>0</v>
      </c>
      <c r="U12" s="20">
        <f>SUBTOTAL(103,August[19])</f>
        <v>0</v>
      </c>
      <c r="V12" s="20">
        <f>SUBTOTAL(103,August[20])</f>
        <v>0</v>
      </c>
      <c r="W12" s="20">
        <f>SUBTOTAL(103,August[21])</f>
        <v>0</v>
      </c>
      <c r="X12" s="20">
        <f>SUBTOTAL(103,August[22])</f>
        <v>0</v>
      </c>
      <c r="Y12" s="20">
        <f>SUBTOTAL(103,August[23])</f>
        <v>0</v>
      </c>
      <c r="Z12" s="20">
        <f>SUBTOTAL(103,August[24])</f>
        <v>0</v>
      </c>
      <c r="AA12" s="20">
        <f>SUBTOTAL(103,August[25])</f>
        <v>0</v>
      </c>
      <c r="AB12" s="20">
        <f>SUBTOTAL(103,August[26])</f>
        <v>0</v>
      </c>
      <c r="AC12" s="20">
        <f>SUBTOTAL(103,August[27])</f>
        <v>0</v>
      </c>
      <c r="AD12" s="20">
        <f>SUBTOTAL(103,August[28])</f>
        <v>0</v>
      </c>
      <c r="AE12" s="20">
        <f>SUBTOTAL(103,August[29])</f>
        <v>0</v>
      </c>
      <c r="AF12" s="20">
        <f>SUBTOTAL(109,August[30])</f>
        <v>0</v>
      </c>
      <c r="AG12" s="20">
        <f>SUBTOTAL(109,August[31])</f>
        <v>0</v>
      </c>
      <c r="AH12" s="20">
        <f>SUBTOTAL(109,August[Total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372" priority="2" stopIfTrue="1">
      <formula>C7=KeyCustom2</formula>
    </cfRule>
    <cfRule type="expression" dxfId="371" priority="3" stopIfTrue="1">
      <formula>C7=KeyCustom1</formula>
    </cfRule>
    <cfRule type="expression" dxfId="370" priority="4" stopIfTrue="1">
      <formula>C7=KeySick</formula>
    </cfRule>
    <cfRule type="expression" dxfId="369" priority="5" stopIfTrue="1">
      <formula>C7=KeyPersonal</formula>
    </cfRule>
    <cfRule type="expression" dxfId="368"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700-000000000000}"/>
    <dataValidation allowBlank="1" showInputMessage="1" showErrorMessage="1" prompt="Automatically updated year based on year entered in January worksheet" sqref="AH4" xr:uid="{00000000-0002-0000-0700-000001000000}"/>
    <dataValidation allowBlank="1" showInputMessage="1" showErrorMessage="1" prompt="Automatically calculates total number of days an employee was absent this month in this column" sqref="AH6" xr:uid="{00000000-0002-0000-0700-000002000000}"/>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700-000004000000}"/>
    <dataValidation allowBlank="1" showInputMessage="1" showErrorMessage="1" prompt="Automatically updated title is in this cell. To modify the title, update B1 on January worksheet" sqref="B1" xr:uid="{00000000-0002-0000-0700-000005000000}"/>
    <dataValidation allowBlank="1" showInputMessage="1" showErrorMessage="1" prompt="The letter &quot;H&quot; indicates absence due to holiday" sqref="C2" xr:uid="{00000000-0002-0000-0700-000006000000}"/>
    <dataValidation allowBlank="1" showInputMessage="1" showErrorMessage="1" prompt="The letter &quot;P&quot; indicates absence due to personal reasons" sqref="G2" xr:uid="{00000000-0002-0000-0700-000007000000}"/>
    <dataValidation allowBlank="1" showInputMessage="1" showErrorMessage="1" prompt="The letter &quot;S&quot; indicates absence due to illness" sqref="K2" xr:uid="{00000000-0002-0000-0700-000008000000}"/>
    <dataValidation allowBlank="1" showInputMessage="1" showErrorMessage="1" prompt="Enter a letter and customise the label to the right to add another key item" sqref="N2 R2" xr:uid="{00000000-0002-0000-0700-000009000000}"/>
    <dataValidation allowBlank="1" showInputMessage="1" showErrorMessage="1" prompt="Enter a label to describe the custom key to the left" sqref="O2:Q2 S2:U2" xr:uid="{00000000-0002-0000-0700-00000A000000}"/>
    <dataValidation allowBlank="1" showInputMessage="1" showErrorMessage="1" prompt="This row defines the keys used in the table: cell C2 is Holiday, G2 is Personal &amp; K2 is Sick leave. Cells N2 &amp; R2 are customisable " sqref="B2" xr:uid="{00000000-0002-0000-0700-00000B000000}"/>
    <dataValidation allowBlank="1" showInputMessage="1" showErrorMessage="1" prompt="Month name for this absence schedule is in this cell. Absence totals for this month are in last cell of the table. Select employee names in table column B" sqref="B4"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7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'Employee Names'!$B$4:$B$8</xm:f>
          </x14:formula1>
          <xm:sqref>B7:B11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60</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TEXT(WEEKDAY(DATE(CalendarYear,9,1),1),"aaa")</f>
        <v>Thu</v>
      </c>
      <c r="D5" s="13" t="str">
        <f>TEXT(WEEKDAY(DATE(CalendarYear,9,2),1),"aaa")</f>
        <v>Fri</v>
      </c>
      <c r="E5" s="13" t="str">
        <f>TEXT(WEEKDAY(DATE(CalendarYear,9,3),1),"aaa")</f>
        <v>Sat</v>
      </c>
      <c r="F5" s="13" t="str">
        <f>TEXT(WEEKDAY(DATE(CalendarYear,9,4),1),"aaa")</f>
        <v>Sun</v>
      </c>
      <c r="G5" s="13" t="str">
        <f>TEXT(WEEKDAY(DATE(CalendarYear,9,5),1),"aaa")</f>
        <v>Mon</v>
      </c>
      <c r="H5" s="13" t="str">
        <f>TEXT(WEEKDAY(DATE(CalendarYear,9,6),1),"aaa")</f>
        <v>Tue</v>
      </c>
      <c r="I5" s="13" t="str">
        <f>TEXT(WEEKDAY(DATE(CalendarYear,9,7),1),"aaa")</f>
        <v>Wed</v>
      </c>
      <c r="J5" s="13" t="str">
        <f>TEXT(WEEKDAY(DATE(CalendarYear,9,8),1),"aaa")</f>
        <v>Thu</v>
      </c>
      <c r="K5" s="13" t="str">
        <f>TEXT(WEEKDAY(DATE(CalendarYear,9,9),1),"aaa")</f>
        <v>Fri</v>
      </c>
      <c r="L5" s="13" t="str">
        <f>TEXT(WEEKDAY(DATE(CalendarYear,9,10),1),"aaa")</f>
        <v>Sat</v>
      </c>
      <c r="M5" s="13" t="str">
        <f>TEXT(WEEKDAY(DATE(CalendarYear,9,11),1),"aaa")</f>
        <v>Sun</v>
      </c>
      <c r="N5" s="13" t="str">
        <f>TEXT(WEEKDAY(DATE(CalendarYear,9,12),1),"aaa")</f>
        <v>Mon</v>
      </c>
      <c r="O5" s="13" t="str">
        <f>TEXT(WEEKDAY(DATE(CalendarYear,9,13),1),"aaa")</f>
        <v>Tue</v>
      </c>
      <c r="P5" s="13" t="str">
        <f>TEXT(WEEKDAY(DATE(CalendarYear,9,14),1),"aaa")</f>
        <v>Wed</v>
      </c>
      <c r="Q5" s="13" t="str">
        <f>TEXT(WEEKDAY(DATE(CalendarYear,9,15),1),"aaa")</f>
        <v>Thu</v>
      </c>
      <c r="R5" s="13" t="str">
        <f>TEXT(WEEKDAY(DATE(CalendarYear,9,16),1),"aaa")</f>
        <v>Fri</v>
      </c>
      <c r="S5" s="13" t="str">
        <f>TEXT(WEEKDAY(DATE(CalendarYear,9,17),1),"aaa")</f>
        <v>Sat</v>
      </c>
      <c r="T5" s="13" t="str">
        <f>TEXT(WEEKDAY(DATE(CalendarYear,9,18),1),"aaa")</f>
        <v>Sun</v>
      </c>
      <c r="U5" s="13" t="str">
        <f>TEXT(WEEKDAY(DATE(CalendarYear,9,19),1),"aaa")</f>
        <v>Mon</v>
      </c>
      <c r="V5" s="13" t="str">
        <f>TEXT(WEEKDAY(DATE(CalendarYear,9,20),1),"aaa")</f>
        <v>Tue</v>
      </c>
      <c r="W5" s="13" t="str">
        <f>TEXT(WEEKDAY(DATE(CalendarYear,9,21),1),"aaa")</f>
        <v>Wed</v>
      </c>
      <c r="X5" s="13" t="str">
        <f>TEXT(WEEKDAY(DATE(CalendarYear,9,22),1),"aaa")</f>
        <v>Thu</v>
      </c>
      <c r="Y5" s="13" t="str">
        <f>TEXT(WEEKDAY(DATE(CalendarYear,9,23),1),"aaa")</f>
        <v>Fri</v>
      </c>
      <c r="Z5" s="13" t="str">
        <f>TEXT(WEEKDAY(DATE(CalendarYear,9,24),1),"aaa")</f>
        <v>Sat</v>
      </c>
      <c r="AA5" s="13" t="str">
        <f>TEXT(WEEKDAY(DATE(CalendarYear,9,25),1),"aaa")</f>
        <v>Sun</v>
      </c>
      <c r="AB5" s="13" t="str">
        <f>TEXT(WEEKDAY(DATE(CalendarYear,9,26),1),"aaa")</f>
        <v>Mon</v>
      </c>
      <c r="AC5" s="13" t="str">
        <f>TEXT(WEEKDAY(DATE(CalendarYear,9,27),1),"aaa")</f>
        <v>Tue</v>
      </c>
      <c r="AD5" s="13" t="str">
        <f>TEXT(WEEKDAY(DATE(CalendarYear,9,28),1),"aaa")</f>
        <v>Wed</v>
      </c>
      <c r="AE5" s="13" t="str">
        <f>TEXT(WEEKDAY(DATE(CalendarYear,9,29),1),"aaa")</f>
        <v>Thu</v>
      </c>
      <c r="AF5" s="13" t="str">
        <f>TEXT(WEEKDAY(DATE(CalendarYear,9,30),1),"aaa")</f>
        <v>Fri</v>
      </c>
      <c r="AG5" s="13"/>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COUNTA(September[[#This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COUNTA(September[[#This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COUNTA(September[[#This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COUNTA(September[[#This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COUNTA(September[[#This Row],[1]:[31]])</f>
        <v>0</v>
      </c>
    </row>
    <row r="12" spans="2:34" ht="30" customHeight="1" x14ac:dyDescent="0.2">
      <c r="B12" s="19" t="str">
        <f>MonthName&amp;" Total"</f>
        <v>September Total</v>
      </c>
      <c r="C12" s="20">
        <f>SUBTOTAL(103,September[1])</f>
        <v>0</v>
      </c>
      <c r="D12" s="20">
        <f>SUBTOTAL(103,September[2])</f>
        <v>0</v>
      </c>
      <c r="E12" s="20">
        <f>SUBTOTAL(103,September[3])</f>
        <v>0</v>
      </c>
      <c r="F12" s="20">
        <f>SUBTOTAL(103,September[4])</f>
        <v>0</v>
      </c>
      <c r="G12" s="20">
        <f>SUBTOTAL(103,September[5])</f>
        <v>0</v>
      </c>
      <c r="H12" s="20">
        <f>SUBTOTAL(103,September[6])</f>
        <v>0</v>
      </c>
      <c r="I12" s="20">
        <f>SUBTOTAL(103,September[7])</f>
        <v>0</v>
      </c>
      <c r="J12" s="20">
        <f>SUBTOTAL(103,September[8])</f>
        <v>0</v>
      </c>
      <c r="K12" s="20">
        <f>SUBTOTAL(103,September[9])</f>
        <v>0</v>
      </c>
      <c r="L12" s="20">
        <f>SUBTOTAL(103,September[10])</f>
        <v>0</v>
      </c>
      <c r="M12" s="20">
        <f>SUBTOTAL(103,September[11])</f>
        <v>0</v>
      </c>
      <c r="N12" s="20">
        <f>SUBTOTAL(103,September[12])</f>
        <v>0</v>
      </c>
      <c r="O12" s="20">
        <f>SUBTOTAL(103,September[13])</f>
        <v>0</v>
      </c>
      <c r="P12" s="20">
        <f>SUBTOTAL(103,September[14])</f>
        <v>0</v>
      </c>
      <c r="Q12" s="20">
        <f>SUBTOTAL(103,September[15])</f>
        <v>0</v>
      </c>
      <c r="R12" s="20">
        <f>SUBTOTAL(103,September[16])</f>
        <v>0</v>
      </c>
      <c r="S12" s="20">
        <f>SUBTOTAL(103,September[17])</f>
        <v>0</v>
      </c>
      <c r="T12" s="20">
        <f>SUBTOTAL(103,September[18])</f>
        <v>0</v>
      </c>
      <c r="U12" s="20">
        <f>SUBTOTAL(103,September[19])</f>
        <v>0</v>
      </c>
      <c r="V12" s="20">
        <f>SUBTOTAL(103,September[20])</f>
        <v>0</v>
      </c>
      <c r="W12" s="20">
        <f>SUBTOTAL(103,September[21])</f>
        <v>0</v>
      </c>
      <c r="X12" s="20">
        <f>SUBTOTAL(103,September[22])</f>
        <v>0</v>
      </c>
      <c r="Y12" s="20">
        <f>SUBTOTAL(103,September[23])</f>
        <v>0</v>
      </c>
      <c r="Z12" s="20">
        <f>SUBTOTAL(103,September[24])</f>
        <v>0</v>
      </c>
      <c r="AA12" s="20">
        <f>SUBTOTAL(103,September[25])</f>
        <v>0</v>
      </c>
      <c r="AB12" s="20">
        <f>SUBTOTAL(103,September[26])</f>
        <v>0</v>
      </c>
      <c r="AC12" s="20">
        <f>SUBTOTAL(103,September[27])</f>
        <v>0</v>
      </c>
      <c r="AD12" s="20">
        <f>SUBTOTAL(103,September[28])</f>
        <v>0</v>
      </c>
      <c r="AE12" s="20">
        <f>SUBTOTAL(103,September[29])</f>
        <v>0</v>
      </c>
      <c r="AF12" s="20">
        <f>SUBTOTAL(109,September[30])</f>
        <v>0</v>
      </c>
      <c r="AG12" s="20">
        <f>SUBTOTAL(109,September[31])</f>
        <v>0</v>
      </c>
      <c r="AH12" s="20">
        <f>SUBTOTAL(109,September[Total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298" priority="2" stopIfTrue="1">
      <formula>C7=KeyCustom2</formula>
    </cfRule>
    <cfRule type="expression" dxfId="297" priority="3" stopIfTrue="1">
      <formula>C7=KeyCustom1</formula>
    </cfRule>
    <cfRule type="expression" dxfId="296" priority="4" stopIfTrue="1">
      <formula>C7=KeySick</formula>
    </cfRule>
    <cfRule type="expression" dxfId="295" priority="5" stopIfTrue="1">
      <formula>C7=KeyPersonal</formula>
    </cfRule>
    <cfRule type="expression" dxfId="294"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800-000000000000}"/>
    <dataValidation allowBlank="1" showInputMessage="1" showErrorMessage="1" prompt="Month name for this absence schedule is in this cell. Absence totals for this month are in last cell of the table. Select employee names in table column B" sqref="B4" xr:uid="{00000000-0002-0000-0800-000001000000}"/>
    <dataValidation allowBlank="1" showInputMessage="1" showErrorMessage="1" prompt="This row defines the keys used in the table: cell C2 is Holiday, G2 is Personal &amp; K2 is Sick leave. Cells N2 &amp; R2 are customisable " sqref="B2" xr:uid="{00000000-0002-0000-0800-000002000000}"/>
    <dataValidation allowBlank="1" showInputMessage="1" showErrorMessage="1" prompt="Enter a label to describe the custom key to the left" sqref="O2:Q2 S2:U2" xr:uid="{00000000-0002-0000-0800-000003000000}"/>
    <dataValidation allowBlank="1" showInputMessage="1" showErrorMessage="1" prompt="Enter a letter and customise the label to the right to add another key item" sqref="N2 R2" xr:uid="{00000000-0002-0000-0800-000004000000}"/>
    <dataValidation allowBlank="1" showInputMessage="1" showErrorMessage="1" prompt="The letter &quot;S&quot; indicates absence due to illness" sqref="K2" xr:uid="{00000000-0002-0000-0800-000005000000}"/>
    <dataValidation allowBlank="1" showInputMessage="1" showErrorMessage="1" prompt="The letter &quot;P&quot; indicates absence due to personal reasons" sqref="G2" xr:uid="{00000000-0002-0000-0800-000006000000}"/>
    <dataValidation allowBlank="1" showInputMessage="1" showErrorMessage="1" prompt="The letter &quot;H&quot; indicates absence due to holiday" sqref="C2" xr:uid="{00000000-0002-0000-0800-000007000000}"/>
    <dataValidation allowBlank="1" showInputMessage="1" showErrorMessage="1" prompt="Automatically updated title is in this cell. To modify the title, update B1 on January worksheet" sqref="B1"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800-000009000000}"/>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6" xr:uid="{00000000-0002-0000-0800-00000B000000}"/>
    <dataValidation allowBlank="1" showInputMessage="1" showErrorMessage="1" prompt="Automatically updated year based on year entered in January worksheet" sqref="AH4" xr:uid="{00000000-0002-0000-08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8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'Employee Names'!$B$4:$B$8</xm:f>
          </x14:formula1>
          <xm:sqref>B7:B11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61</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TEXT(WEEKDAY(DATE(CalendarYear,10,1),1),"aaa")</f>
        <v>Sat</v>
      </c>
      <c r="D5" s="13" t="str">
        <f>TEXT(WEEKDAY(DATE(CalendarYear,10,2),1),"aaa")</f>
        <v>Sun</v>
      </c>
      <c r="E5" s="13" t="str">
        <f>TEXT(WEEKDAY(DATE(CalendarYear,10,3),1),"aaa")</f>
        <v>Mon</v>
      </c>
      <c r="F5" s="13" t="str">
        <f>TEXT(WEEKDAY(DATE(CalendarYear,10,4),1),"aaa")</f>
        <v>Tue</v>
      </c>
      <c r="G5" s="13" t="str">
        <f>TEXT(WEEKDAY(DATE(CalendarYear,10,5),1),"aaa")</f>
        <v>Wed</v>
      </c>
      <c r="H5" s="13" t="str">
        <f>TEXT(WEEKDAY(DATE(CalendarYear,10,6),1),"aaa")</f>
        <v>Thu</v>
      </c>
      <c r="I5" s="13" t="str">
        <f>TEXT(WEEKDAY(DATE(CalendarYear,10,7),1),"aaa")</f>
        <v>Fri</v>
      </c>
      <c r="J5" s="13" t="str">
        <f>TEXT(WEEKDAY(DATE(CalendarYear,10,8),1),"aaa")</f>
        <v>Sat</v>
      </c>
      <c r="K5" s="13" t="str">
        <f>TEXT(WEEKDAY(DATE(CalendarYear,10,9),1),"aaa")</f>
        <v>Sun</v>
      </c>
      <c r="L5" s="13" t="str">
        <f>TEXT(WEEKDAY(DATE(CalendarYear,10,10),1),"aaa")</f>
        <v>Mon</v>
      </c>
      <c r="M5" s="13" t="str">
        <f>TEXT(WEEKDAY(DATE(CalendarYear,10,11),1),"aaa")</f>
        <v>Tue</v>
      </c>
      <c r="N5" s="13" t="str">
        <f>TEXT(WEEKDAY(DATE(CalendarYear,10,12),1),"aaa")</f>
        <v>Wed</v>
      </c>
      <c r="O5" s="13" t="str">
        <f>TEXT(WEEKDAY(DATE(CalendarYear,10,13),1),"aaa")</f>
        <v>Thu</v>
      </c>
      <c r="P5" s="13" t="str">
        <f>TEXT(WEEKDAY(DATE(CalendarYear,10,14),1),"aaa")</f>
        <v>Fri</v>
      </c>
      <c r="Q5" s="13" t="str">
        <f>TEXT(WEEKDAY(DATE(CalendarYear,10,15),1),"aaa")</f>
        <v>Sat</v>
      </c>
      <c r="R5" s="13" t="str">
        <f>TEXT(WEEKDAY(DATE(CalendarYear,10,16),1),"aaa")</f>
        <v>Sun</v>
      </c>
      <c r="S5" s="13" t="str">
        <f>TEXT(WEEKDAY(DATE(CalendarYear,10,17),1),"aaa")</f>
        <v>Mon</v>
      </c>
      <c r="T5" s="13" t="str">
        <f>TEXT(WEEKDAY(DATE(CalendarYear,10,18),1),"aaa")</f>
        <v>Tue</v>
      </c>
      <c r="U5" s="13" t="str">
        <f>TEXT(WEEKDAY(DATE(CalendarYear,10,19),1),"aaa")</f>
        <v>Wed</v>
      </c>
      <c r="V5" s="13" t="str">
        <f>TEXT(WEEKDAY(DATE(CalendarYear,10,20),1),"aaa")</f>
        <v>Thu</v>
      </c>
      <c r="W5" s="13" t="str">
        <f>TEXT(WEEKDAY(DATE(CalendarYear,10,21),1),"aaa")</f>
        <v>Fri</v>
      </c>
      <c r="X5" s="13" t="str">
        <f>TEXT(WEEKDAY(DATE(CalendarYear,10,22),1),"aaa")</f>
        <v>Sat</v>
      </c>
      <c r="Y5" s="13" t="str">
        <f>TEXT(WEEKDAY(DATE(CalendarYear,10,23),1),"aaa")</f>
        <v>Sun</v>
      </c>
      <c r="Z5" s="13" t="str">
        <f>TEXT(WEEKDAY(DATE(CalendarYear,10,24),1),"aaa")</f>
        <v>Mon</v>
      </c>
      <c r="AA5" s="13" t="str">
        <f>TEXT(WEEKDAY(DATE(CalendarYear,10,25),1),"aaa")</f>
        <v>Tue</v>
      </c>
      <c r="AB5" s="13" t="str">
        <f>TEXT(WEEKDAY(DATE(CalendarYear,10,26),1),"aaa")</f>
        <v>Wed</v>
      </c>
      <c r="AC5" s="13" t="str">
        <f>TEXT(WEEKDAY(DATE(CalendarYear,10,27),1),"aaa")</f>
        <v>Thu</v>
      </c>
      <c r="AD5" s="13" t="str">
        <f>TEXT(WEEKDAY(DATE(CalendarYear,10,28),1),"aaa")</f>
        <v>Fri</v>
      </c>
      <c r="AE5" s="13" t="str">
        <f>TEXT(WEEKDAY(DATE(CalendarYear,10,29),1),"aaa")</f>
        <v>Sat</v>
      </c>
      <c r="AF5" s="13" t="str">
        <f>TEXT(WEEKDAY(DATE(CalendarYear,10,30),1),"aaa")</f>
        <v>Sun</v>
      </c>
      <c r="AG5" s="13" t="str">
        <f>TEXT(WEEKDAY(DATE(CalendarYear,10,31),1),"aaa")</f>
        <v>Mon</v>
      </c>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COUNTA(October[[#This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COUNTA(October[[#This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COUNTA(October[[#This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COUNTA(October[[#This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COUNTA(October[[#This Row],[1]:[31]])</f>
        <v>0</v>
      </c>
    </row>
    <row r="12" spans="2:34" ht="30" customHeight="1" x14ac:dyDescent="0.2">
      <c r="B12" s="19" t="str">
        <f>MonthName&amp;" Total"</f>
        <v>October Total</v>
      </c>
      <c r="C12" s="20">
        <f>SUBTOTAL(103,October[1])</f>
        <v>0</v>
      </c>
      <c r="D12" s="20">
        <f>SUBTOTAL(103,October[2])</f>
        <v>0</v>
      </c>
      <c r="E12" s="20">
        <f>SUBTOTAL(103,October[3])</f>
        <v>0</v>
      </c>
      <c r="F12" s="20">
        <f>SUBTOTAL(103,October[4])</f>
        <v>0</v>
      </c>
      <c r="G12" s="20">
        <f>SUBTOTAL(103,October[5])</f>
        <v>0</v>
      </c>
      <c r="H12" s="20">
        <f>SUBTOTAL(103,October[6])</f>
        <v>0</v>
      </c>
      <c r="I12" s="20">
        <f>SUBTOTAL(103,October[7])</f>
        <v>0</v>
      </c>
      <c r="J12" s="20">
        <f>SUBTOTAL(103,October[8])</f>
        <v>0</v>
      </c>
      <c r="K12" s="20">
        <f>SUBTOTAL(103,October[9])</f>
        <v>0</v>
      </c>
      <c r="L12" s="20">
        <f>SUBTOTAL(103,October[10])</f>
        <v>0</v>
      </c>
      <c r="M12" s="20">
        <f>SUBTOTAL(103,October[11])</f>
        <v>0</v>
      </c>
      <c r="N12" s="20">
        <f>SUBTOTAL(103,October[12])</f>
        <v>0</v>
      </c>
      <c r="O12" s="20">
        <f>SUBTOTAL(103,October[13])</f>
        <v>0</v>
      </c>
      <c r="P12" s="20">
        <f>SUBTOTAL(103,October[14])</f>
        <v>0</v>
      </c>
      <c r="Q12" s="20">
        <f>SUBTOTAL(103,October[15])</f>
        <v>0</v>
      </c>
      <c r="R12" s="20">
        <f>SUBTOTAL(103,October[16])</f>
        <v>0</v>
      </c>
      <c r="S12" s="20">
        <f>SUBTOTAL(103,October[17])</f>
        <v>0</v>
      </c>
      <c r="T12" s="20">
        <f>SUBTOTAL(103,October[18])</f>
        <v>0</v>
      </c>
      <c r="U12" s="20">
        <f>SUBTOTAL(103,October[19])</f>
        <v>0</v>
      </c>
      <c r="V12" s="20">
        <f>SUBTOTAL(103,October[20])</f>
        <v>0</v>
      </c>
      <c r="W12" s="20">
        <f>SUBTOTAL(103,October[21])</f>
        <v>0</v>
      </c>
      <c r="X12" s="20">
        <f>SUBTOTAL(103,October[22])</f>
        <v>0</v>
      </c>
      <c r="Y12" s="20">
        <f>SUBTOTAL(103,October[23])</f>
        <v>0</v>
      </c>
      <c r="Z12" s="20">
        <f>SUBTOTAL(103,October[24])</f>
        <v>0</v>
      </c>
      <c r="AA12" s="20">
        <f>SUBTOTAL(103,October[25])</f>
        <v>0</v>
      </c>
      <c r="AB12" s="20">
        <f>SUBTOTAL(103,October[26])</f>
        <v>0</v>
      </c>
      <c r="AC12" s="20">
        <f>SUBTOTAL(103,October[27])</f>
        <v>0</v>
      </c>
      <c r="AD12" s="20">
        <f>SUBTOTAL(103,October[28])</f>
        <v>0</v>
      </c>
      <c r="AE12" s="20">
        <f>SUBTOTAL(103,October[29])</f>
        <v>0</v>
      </c>
      <c r="AF12" s="20">
        <f>SUBTOTAL(109,October[30])</f>
        <v>0</v>
      </c>
      <c r="AG12" s="20">
        <f>SUBTOTAL(109,October[31])</f>
        <v>0</v>
      </c>
      <c r="AH12" s="20">
        <f>SUBTOTAL(109,October[Total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224" priority="2" stopIfTrue="1">
      <formula>C7=KeyCustom2</formula>
    </cfRule>
    <cfRule type="expression" dxfId="223" priority="3" stopIfTrue="1">
      <formula>C7=KeyCustom1</formula>
    </cfRule>
    <cfRule type="expression" dxfId="222" priority="4" stopIfTrue="1">
      <formula>C7=KeySick</formula>
    </cfRule>
    <cfRule type="expression" dxfId="221" priority="5" stopIfTrue="1">
      <formula>C7=KeyPersonal</formula>
    </cfRule>
    <cfRule type="expression" dxfId="220"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4">
    <dataValidation allowBlank="1" showInputMessage="1" showErrorMessage="1" prompt="Weekdays in this row are automatically updated for the month according to the year in AH4. Each day of the month is a column to note an employee's absence and absence type" sqref="C5" xr:uid="{00000000-0002-0000-0900-000000000000}"/>
    <dataValidation allowBlank="1" showInputMessage="1" showErrorMessage="1" prompt="Automatically updated year based on year entered in January worksheet" sqref="AH4" xr:uid="{00000000-0002-0000-0900-000001000000}"/>
    <dataValidation allowBlank="1" showInputMessage="1" showErrorMessage="1" prompt="Automatically calculates total number of days an employee was absent this month in this column" sqref="AH6" xr:uid="{00000000-0002-0000-0900-000002000000}"/>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900-000004000000}"/>
    <dataValidation allowBlank="1" showInputMessage="1" showErrorMessage="1" prompt="Automatically updated title is in this cell. To modify the title, update B1 on January worksheet" sqref="B1" xr:uid="{00000000-0002-0000-0900-000005000000}"/>
    <dataValidation allowBlank="1" showInputMessage="1" showErrorMessage="1" prompt="The letter &quot;H&quot; indicates absence due to holiday" sqref="C2" xr:uid="{00000000-0002-0000-0900-000006000000}"/>
    <dataValidation allowBlank="1" showInputMessage="1" showErrorMessage="1" prompt="The letter &quot;P&quot; indicates absence due to personal reasons" sqref="G2" xr:uid="{00000000-0002-0000-0900-000007000000}"/>
    <dataValidation allowBlank="1" showInputMessage="1" showErrorMessage="1" prompt="The letter &quot;S&quot; indicates absence due to illness" sqref="K2" xr:uid="{00000000-0002-0000-0900-000008000000}"/>
    <dataValidation allowBlank="1" showInputMessage="1" showErrorMessage="1" prompt="Enter a letter and customise the label to the right to add another key item" sqref="N2 R2" xr:uid="{00000000-0002-0000-0900-000009000000}"/>
    <dataValidation allowBlank="1" showInputMessage="1" showErrorMessage="1" prompt="Enter a label to describe the custom key to the left" sqref="O2:Q2 S2:U2" xr:uid="{00000000-0002-0000-0900-00000A000000}"/>
    <dataValidation allowBlank="1" showInputMessage="1" showErrorMessage="1" prompt="This row defines the keys used in the table: cell C2 is Holiday, G2 is Personal &amp; K2 is Sick leave. Cells N2 &amp; R2 are customisable " sqref="B2" xr:uid="{00000000-0002-0000-0900-00000B000000}"/>
    <dataValidation allowBlank="1" showInputMessage="1" showErrorMessage="1" prompt="Month name for this absence schedule is in this cell. Absence totals for this month are in last cell of the table. Select employee names in table column B" sqref="B4"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9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'Employee Names'!$B$4:$B$8</xm:f>
          </x14:formula1>
          <xm:sqref>B7:B11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62</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TEXT(WEEKDAY(DATE(CalendarYear,11,1),1),"aaa")</f>
        <v>Tue</v>
      </c>
      <c r="D5" s="13" t="str">
        <f>TEXT(WEEKDAY(DATE(CalendarYear,11,2),1),"aaa")</f>
        <v>Wed</v>
      </c>
      <c r="E5" s="13" t="str">
        <f>TEXT(WEEKDAY(DATE(CalendarYear,11,3),1),"aaa")</f>
        <v>Thu</v>
      </c>
      <c r="F5" s="13" t="str">
        <f>TEXT(WEEKDAY(DATE(CalendarYear,11,4),1),"aaa")</f>
        <v>Fri</v>
      </c>
      <c r="G5" s="13" t="str">
        <f>TEXT(WEEKDAY(DATE(CalendarYear,11,5),1),"aaa")</f>
        <v>Sat</v>
      </c>
      <c r="H5" s="13" t="str">
        <f>TEXT(WEEKDAY(DATE(CalendarYear,11,6),1),"aaa")</f>
        <v>Sun</v>
      </c>
      <c r="I5" s="13" t="str">
        <f>TEXT(WEEKDAY(DATE(CalendarYear,11,7),1),"aaa")</f>
        <v>Mon</v>
      </c>
      <c r="J5" s="13" t="str">
        <f>TEXT(WEEKDAY(DATE(CalendarYear,11,8),1),"aaa")</f>
        <v>Tue</v>
      </c>
      <c r="K5" s="13" t="str">
        <f>TEXT(WEEKDAY(DATE(CalendarYear,11,9),1),"aaa")</f>
        <v>Wed</v>
      </c>
      <c r="L5" s="13" t="str">
        <f>TEXT(WEEKDAY(DATE(CalendarYear,11,10),1),"aaa")</f>
        <v>Thu</v>
      </c>
      <c r="M5" s="13" t="str">
        <f>TEXT(WEEKDAY(DATE(CalendarYear,11,11),1),"aaa")</f>
        <v>Fri</v>
      </c>
      <c r="N5" s="13" t="str">
        <f>TEXT(WEEKDAY(DATE(CalendarYear,11,12),1),"aaa")</f>
        <v>Sat</v>
      </c>
      <c r="O5" s="13" t="str">
        <f>TEXT(WEEKDAY(DATE(CalendarYear,11,13),1),"aaa")</f>
        <v>Sun</v>
      </c>
      <c r="P5" s="13" t="str">
        <f>TEXT(WEEKDAY(DATE(CalendarYear,11,14),1),"aaa")</f>
        <v>Mon</v>
      </c>
      <c r="Q5" s="13" t="str">
        <f>TEXT(WEEKDAY(DATE(CalendarYear,11,15),1),"aaa")</f>
        <v>Tue</v>
      </c>
      <c r="R5" s="13" t="str">
        <f>TEXT(WEEKDAY(DATE(CalendarYear,11,16),1),"aaa")</f>
        <v>Wed</v>
      </c>
      <c r="S5" s="13" t="str">
        <f>TEXT(WEEKDAY(DATE(CalendarYear,11,17),1),"aaa")</f>
        <v>Thu</v>
      </c>
      <c r="T5" s="13" t="str">
        <f>TEXT(WEEKDAY(DATE(CalendarYear,11,18),1),"aaa")</f>
        <v>Fri</v>
      </c>
      <c r="U5" s="13" t="str">
        <f>TEXT(WEEKDAY(DATE(CalendarYear,11,19),1),"aaa")</f>
        <v>Sat</v>
      </c>
      <c r="V5" s="13" t="str">
        <f>TEXT(WEEKDAY(DATE(CalendarYear,11,20),1),"aaa")</f>
        <v>Sun</v>
      </c>
      <c r="W5" s="13" t="str">
        <f>TEXT(WEEKDAY(DATE(CalendarYear,11,21),1),"aaa")</f>
        <v>Mon</v>
      </c>
      <c r="X5" s="13" t="str">
        <f>TEXT(WEEKDAY(DATE(CalendarYear,11,22),1),"aaa")</f>
        <v>Tue</v>
      </c>
      <c r="Y5" s="13" t="str">
        <f>TEXT(WEEKDAY(DATE(CalendarYear,11,23),1),"aaa")</f>
        <v>Wed</v>
      </c>
      <c r="Z5" s="13" t="str">
        <f>TEXT(WEEKDAY(DATE(CalendarYear,11,24),1),"aaa")</f>
        <v>Thu</v>
      </c>
      <c r="AA5" s="13" t="str">
        <f>TEXT(WEEKDAY(DATE(CalendarYear,11,25),1),"aaa")</f>
        <v>Fri</v>
      </c>
      <c r="AB5" s="13" t="str">
        <f>TEXT(WEEKDAY(DATE(CalendarYear,11,26),1),"aaa")</f>
        <v>Sat</v>
      </c>
      <c r="AC5" s="13" t="str">
        <f>TEXT(WEEKDAY(DATE(CalendarYear,11,27),1),"aaa")</f>
        <v>Sun</v>
      </c>
      <c r="AD5" s="13" t="str">
        <f>TEXT(WEEKDAY(DATE(CalendarYear,11,28),1),"aaa")</f>
        <v>Mon</v>
      </c>
      <c r="AE5" s="13" t="str">
        <f>TEXT(WEEKDAY(DATE(CalendarYear,11,29),1),"aaa")</f>
        <v>Tue</v>
      </c>
      <c r="AF5" s="13" t="str">
        <f>TEXT(WEEKDAY(DATE(CalendarYear,11,30),1),"aaa")</f>
        <v>Wed</v>
      </c>
      <c r="AG5" s="13"/>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COUNTA(November[[#This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COUNTA(November[[#This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COUNTA(November[[#This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COUNTA(November[[#This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COUNTA(November[[#This Row],[1]:[31]])</f>
        <v>0</v>
      </c>
    </row>
    <row r="12" spans="2:34" ht="30" customHeight="1" x14ac:dyDescent="0.2">
      <c r="B12" s="19" t="str">
        <f>MonthName&amp;" Total"</f>
        <v>November Total</v>
      </c>
      <c r="C12" s="20">
        <f>SUBTOTAL(103,November[1])</f>
        <v>0</v>
      </c>
      <c r="D12" s="20">
        <f>SUBTOTAL(103,November[2])</f>
        <v>0</v>
      </c>
      <c r="E12" s="20">
        <f>SUBTOTAL(103,November[3])</f>
        <v>0</v>
      </c>
      <c r="F12" s="20">
        <f>SUBTOTAL(103,November[4])</f>
        <v>0</v>
      </c>
      <c r="G12" s="20">
        <f>SUBTOTAL(103,November[5])</f>
        <v>0</v>
      </c>
      <c r="H12" s="20">
        <f>SUBTOTAL(103,November[6])</f>
        <v>0</v>
      </c>
      <c r="I12" s="20">
        <f>SUBTOTAL(103,November[7])</f>
        <v>0</v>
      </c>
      <c r="J12" s="20">
        <f>SUBTOTAL(103,November[8])</f>
        <v>0</v>
      </c>
      <c r="K12" s="20">
        <f>SUBTOTAL(103,November[9])</f>
        <v>0</v>
      </c>
      <c r="L12" s="20">
        <f>SUBTOTAL(103,November[10])</f>
        <v>0</v>
      </c>
      <c r="M12" s="20">
        <f>SUBTOTAL(103,November[11])</f>
        <v>0</v>
      </c>
      <c r="N12" s="20">
        <f>SUBTOTAL(103,November[12])</f>
        <v>0</v>
      </c>
      <c r="O12" s="20">
        <f>SUBTOTAL(103,November[13])</f>
        <v>0</v>
      </c>
      <c r="P12" s="20">
        <f>SUBTOTAL(103,November[14])</f>
        <v>0</v>
      </c>
      <c r="Q12" s="20">
        <f>SUBTOTAL(103,November[15])</f>
        <v>0</v>
      </c>
      <c r="R12" s="20">
        <f>SUBTOTAL(103,November[16])</f>
        <v>0</v>
      </c>
      <c r="S12" s="20">
        <f>SUBTOTAL(103,November[17])</f>
        <v>0</v>
      </c>
      <c r="T12" s="20">
        <f>SUBTOTAL(103,November[18])</f>
        <v>0</v>
      </c>
      <c r="U12" s="20">
        <f>SUBTOTAL(103,November[19])</f>
        <v>0</v>
      </c>
      <c r="V12" s="20">
        <f>SUBTOTAL(103,November[20])</f>
        <v>0</v>
      </c>
      <c r="W12" s="20">
        <f>SUBTOTAL(103,November[21])</f>
        <v>0</v>
      </c>
      <c r="X12" s="20">
        <f>SUBTOTAL(103,November[22])</f>
        <v>0</v>
      </c>
      <c r="Y12" s="20">
        <f>SUBTOTAL(103,November[23])</f>
        <v>0</v>
      </c>
      <c r="Z12" s="20">
        <f>SUBTOTAL(103,November[24])</f>
        <v>0</v>
      </c>
      <c r="AA12" s="20">
        <f>SUBTOTAL(103,November[25])</f>
        <v>0</v>
      </c>
      <c r="AB12" s="20">
        <f>SUBTOTAL(103,November[26])</f>
        <v>0</v>
      </c>
      <c r="AC12" s="20">
        <f>SUBTOTAL(103,November[27])</f>
        <v>0</v>
      </c>
      <c r="AD12" s="20">
        <f>SUBTOTAL(103,November[28])</f>
        <v>0</v>
      </c>
      <c r="AE12" s="20">
        <f>SUBTOTAL(103,November[29])</f>
        <v>0</v>
      </c>
      <c r="AF12" s="20">
        <f>SUBTOTAL(109,November[30])</f>
        <v>0</v>
      </c>
      <c r="AG12" s="20">
        <f>SUBTOTAL(109,November[31])</f>
        <v>0</v>
      </c>
      <c r="AH12" s="20">
        <f>SUBTOTAL(109,November[Total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150" priority="2" stopIfTrue="1">
      <formula>C7=KeyCustom2</formula>
    </cfRule>
    <cfRule type="expression" dxfId="149" priority="3" stopIfTrue="1">
      <formula>C7=KeyCustom1</formula>
    </cfRule>
    <cfRule type="expression" dxfId="148" priority="4" stopIfTrue="1">
      <formula>C7=KeySick</formula>
    </cfRule>
    <cfRule type="expression" dxfId="147" priority="5" stopIfTrue="1">
      <formula>C7=KeyPersonal</formula>
    </cfRule>
    <cfRule type="expression" dxfId="146" priority="6" stopIfTrue="1">
      <formula>C7=KeyHoliday</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4">
    <dataValidation allowBlank="1" showInputMessage="1" showErrorMessage="1" prompt="Days of the month in this row are automatically generated. Enter an employee's absence and absence type in each column for each day of the month. Blank means no absence" sqref="C6" xr:uid="{00000000-0002-0000-0A00-000000000000}"/>
    <dataValidation allowBlank="1" showInputMessage="1" showErrorMessage="1" prompt="Month name for this absence schedule is in this cell. Absence totals for this month are in last cell of the table. Select employee names in table column B" sqref="B4" xr:uid="{00000000-0002-0000-0A00-000001000000}"/>
    <dataValidation allowBlank="1" showInputMessage="1" showErrorMessage="1" prompt="This row defines the keys used in the table: cell C2 is Holiday, G2 is Personal &amp; K2 is Sick leave. Cells N2 &amp; R2 are customisable " sqref="B2" xr:uid="{00000000-0002-0000-0A00-000002000000}"/>
    <dataValidation allowBlank="1" showInputMessage="1" showErrorMessage="1" prompt="Enter a label to describe the custom key to the left" sqref="O2:Q2 S2:U2" xr:uid="{00000000-0002-0000-0A00-000003000000}"/>
    <dataValidation allowBlank="1" showInputMessage="1" showErrorMessage="1" prompt="Enter a letter and customise the label to the right to add another key item" sqref="N2 R2" xr:uid="{00000000-0002-0000-0A00-000004000000}"/>
    <dataValidation allowBlank="1" showInputMessage="1" showErrorMessage="1" prompt="The letter &quot;S&quot; indicates absence due to illness" sqref="K2" xr:uid="{00000000-0002-0000-0A00-000005000000}"/>
    <dataValidation allowBlank="1" showInputMessage="1" showErrorMessage="1" prompt="The letter &quot;P&quot; indicates absence due to personal reasons" sqref="G2" xr:uid="{00000000-0002-0000-0A00-000006000000}"/>
    <dataValidation allowBlank="1" showInputMessage="1" showErrorMessage="1" prompt="The letter &quot;H&quot; indicates absence due to holiday" sqref="C2" xr:uid="{00000000-0002-0000-0A00-000007000000}"/>
    <dataValidation allowBlank="1" showInputMessage="1" showErrorMessage="1" prompt="Automatically updated title is in this cell. To modify the title, update B1 on January worksheet" sqref="B1"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A00-000009000000}"/>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6" xr:uid="{00000000-0002-0000-0A00-00000B000000}"/>
    <dataValidation allowBlank="1" showInputMessage="1" showErrorMessage="1" prompt="Automatically updated year based on year entered in January worksheet" sqref="AH4" xr:uid="{00000000-0002-0000-0A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A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'Employee Names'!$B$4:$B$8</xm:f>
          </x14:formula1>
          <xm:sqref>B7:B11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AH12"/>
  <sheetViews>
    <sheetView showGridLines="0" zoomScaleNormal="100" workbookViewId="0">
      <selection activeCell="B1" sqref="B1"/>
    </sheetView>
  </sheetViews>
  <sheetFormatPr baseColWidth="10" defaultColWidth="8.83203125" defaultRowHeight="30" customHeight="1" x14ac:dyDescent="0.2"/>
  <cols>
    <col min="1" max="1" width="2.6640625" style="3" customWidth="1"/>
    <col min="2" max="2" width="25.6640625" style="3" customWidth="1"/>
    <col min="3" max="33" width="4.6640625" style="3" customWidth="1"/>
    <col min="34" max="34" width="13.5" style="3" customWidth="1"/>
    <col min="35" max="35" width="2.6640625" style="4" customWidth="1"/>
    <col min="36" max="16384" width="8.83203125" style="4"/>
  </cols>
  <sheetData>
    <row r="1" spans="2:34" ht="50" customHeight="1" x14ac:dyDescent="0.2">
      <c r="B1" s="2" t="str">
        <f>Employee_Absence_Title</f>
        <v>Employee Absence Schedule</v>
      </c>
    </row>
    <row r="2" spans="2:34" ht="15" customHeight="1" x14ac:dyDescent="0.2">
      <c r="B2" s="5" t="s">
        <v>1</v>
      </c>
      <c r="C2" s="6" t="s">
        <v>9</v>
      </c>
      <c r="D2" s="26" t="s">
        <v>12</v>
      </c>
      <c r="E2" s="26"/>
      <c r="F2" s="26"/>
      <c r="G2" s="7" t="s">
        <v>15</v>
      </c>
      <c r="H2" s="26" t="s">
        <v>19</v>
      </c>
      <c r="I2" s="26"/>
      <c r="J2" s="26"/>
      <c r="K2" s="8" t="s">
        <v>17</v>
      </c>
      <c r="L2" s="26" t="s">
        <v>24</v>
      </c>
      <c r="M2" s="26"/>
      <c r="N2" s="9"/>
      <c r="O2" s="26" t="s">
        <v>28</v>
      </c>
      <c r="P2" s="26"/>
      <c r="Q2" s="26"/>
      <c r="R2" s="10"/>
      <c r="S2" s="26" t="s">
        <v>33</v>
      </c>
      <c r="T2" s="26"/>
      <c r="U2" s="26"/>
    </row>
    <row r="3" spans="2:34" ht="15" customHeight="1" x14ac:dyDescent="0.2">
      <c r="B3" s="21"/>
    </row>
    <row r="4" spans="2:34" ht="30" customHeight="1" x14ac:dyDescent="0.2">
      <c r="B4" s="12" t="s">
        <v>63</v>
      </c>
      <c r="C4" s="25" t="s">
        <v>10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2">
        <f>CalendarYear</f>
        <v>2022</v>
      </c>
    </row>
    <row r="5" spans="2:34" ht="15" customHeight="1" x14ac:dyDescent="0.2">
      <c r="B5" s="12"/>
      <c r="C5" s="13" t="str">
        <f>TEXT(WEEKDAY(DATE(CalendarYear,12,1),1),"aaa")</f>
        <v>Thu</v>
      </c>
      <c r="D5" s="13" t="str">
        <f>TEXT(WEEKDAY(DATE(CalendarYear,12,2),1),"aaa")</f>
        <v>Fri</v>
      </c>
      <c r="E5" s="13" t="str">
        <f>TEXT(WEEKDAY(DATE(CalendarYear,12,3),1),"aaa")</f>
        <v>Sat</v>
      </c>
      <c r="F5" s="13" t="str">
        <f>TEXT(WEEKDAY(DATE(CalendarYear,12,4),1),"aaa")</f>
        <v>Sun</v>
      </c>
      <c r="G5" s="13" t="str">
        <f>TEXT(WEEKDAY(DATE(CalendarYear,12,5),1),"aaa")</f>
        <v>Mon</v>
      </c>
      <c r="H5" s="13" t="str">
        <f>TEXT(WEEKDAY(DATE(CalendarYear,12,6),1),"aaa")</f>
        <v>Tue</v>
      </c>
      <c r="I5" s="13" t="str">
        <f>TEXT(WEEKDAY(DATE(CalendarYear,12,7),1),"aaa")</f>
        <v>Wed</v>
      </c>
      <c r="J5" s="13" t="str">
        <f>TEXT(WEEKDAY(DATE(CalendarYear,12,8),1),"aaa")</f>
        <v>Thu</v>
      </c>
      <c r="K5" s="13" t="str">
        <f>TEXT(WEEKDAY(DATE(CalendarYear,12,9),1),"aaa")</f>
        <v>Fri</v>
      </c>
      <c r="L5" s="13" t="str">
        <f>TEXT(WEEKDAY(DATE(CalendarYear,12,10),1),"aaa")</f>
        <v>Sat</v>
      </c>
      <c r="M5" s="13" t="str">
        <f>TEXT(WEEKDAY(DATE(CalendarYear,12,11),1),"aaa")</f>
        <v>Sun</v>
      </c>
      <c r="N5" s="13" t="str">
        <f>TEXT(WEEKDAY(DATE(CalendarYear,12,12),1),"aaa")</f>
        <v>Mon</v>
      </c>
      <c r="O5" s="13" t="str">
        <f>TEXT(WEEKDAY(DATE(CalendarYear,12,13),1),"aaa")</f>
        <v>Tue</v>
      </c>
      <c r="P5" s="13" t="str">
        <f>TEXT(WEEKDAY(DATE(CalendarYear,12,14),1),"aaa")</f>
        <v>Wed</v>
      </c>
      <c r="Q5" s="13" t="str">
        <f>TEXT(WEEKDAY(DATE(CalendarYear,12,15),1),"aaa")</f>
        <v>Thu</v>
      </c>
      <c r="R5" s="13" t="str">
        <f>TEXT(WEEKDAY(DATE(CalendarYear,12,16),1),"aaa")</f>
        <v>Fri</v>
      </c>
      <c r="S5" s="13" t="str">
        <f>TEXT(WEEKDAY(DATE(CalendarYear,12,17),1),"aaa")</f>
        <v>Sat</v>
      </c>
      <c r="T5" s="13" t="str">
        <f>TEXT(WEEKDAY(DATE(CalendarYear,12,18),1),"aaa")</f>
        <v>Sun</v>
      </c>
      <c r="U5" s="13" t="str">
        <f>TEXT(WEEKDAY(DATE(CalendarYear,12,19),1),"aaa")</f>
        <v>Mon</v>
      </c>
      <c r="V5" s="13" t="str">
        <f>TEXT(WEEKDAY(DATE(CalendarYear,12,20),1),"aaa")</f>
        <v>Tue</v>
      </c>
      <c r="W5" s="13" t="str">
        <f>TEXT(WEEKDAY(DATE(CalendarYear,12,21),1),"aaa")</f>
        <v>Wed</v>
      </c>
      <c r="X5" s="13" t="str">
        <f>TEXT(WEEKDAY(DATE(CalendarYear,12,22),1),"aaa")</f>
        <v>Thu</v>
      </c>
      <c r="Y5" s="13" t="str">
        <f>TEXT(WEEKDAY(DATE(CalendarYear,12,23),1),"aaa")</f>
        <v>Fri</v>
      </c>
      <c r="Z5" s="13" t="str">
        <f>TEXT(WEEKDAY(DATE(CalendarYear,12,24),1),"aaa")</f>
        <v>Sat</v>
      </c>
      <c r="AA5" s="13" t="str">
        <f>TEXT(WEEKDAY(DATE(CalendarYear,12,25),1),"aaa")</f>
        <v>Sun</v>
      </c>
      <c r="AB5" s="13" t="str">
        <f>TEXT(WEEKDAY(DATE(CalendarYear,12,26),1),"aaa")</f>
        <v>Mon</v>
      </c>
      <c r="AC5" s="13" t="str">
        <f>TEXT(WEEKDAY(DATE(CalendarYear,12,27),1),"aaa")</f>
        <v>Tue</v>
      </c>
      <c r="AD5" s="13" t="str">
        <f>TEXT(WEEKDAY(DATE(CalendarYear,12,28),1),"aaa")</f>
        <v>Wed</v>
      </c>
      <c r="AE5" s="13" t="str">
        <f>TEXT(WEEKDAY(DATE(CalendarYear,12,29),1),"aaa")</f>
        <v>Thu</v>
      </c>
      <c r="AF5" s="13" t="str">
        <f>TEXT(WEEKDAY(DATE(CalendarYear,12,30),1),"aaa")</f>
        <v>Fri</v>
      </c>
      <c r="AG5" s="13" t="str">
        <f>TEXT(WEEKDAY(DATE(CalendarYear,12,31),1),"aaa")</f>
        <v>Sat</v>
      </c>
      <c r="AH5" s="12"/>
    </row>
    <row r="6" spans="2:34" ht="15" customHeight="1" x14ac:dyDescent="0.2">
      <c r="B6" s="14" t="s">
        <v>3</v>
      </c>
      <c r="C6" s="15" t="s">
        <v>11</v>
      </c>
      <c r="D6" s="15" t="s">
        <v>13</v>
      </c>
      <c r="E6" s="15" t="s">
        <v>14</v>
      </c>
      <c r="F6" s="15" t="s">
        <v>16</v>
      </c>
      <c r="G6" s="15" t="s">
        <v>18</v>
      </c>
      <c r="H6" s="15" t="s">
        <v>20</v>
      </c>
      <c r="I6" s="15" t="s">
        <v>21</v>
      </c>
      <c r="J6" s="15" t="s">
        <v>22</v>
      </c>
      <c r="K6" s="15" t="s">
        <v>23</v>
      </c>
      <c r="L6" s="15" t="s">
        <v>25</v>
      </c>
      <c r="M6" s="15" t="s">
        <v>26</v>
      </c>
      <c r="N6" s="15" t="s">
        <v>27</v>
      </c>
      <c r="O6" s="15" t="s">
        <v>29</v>
      </c>
      <c r="P6" s="15" t="s">
        <v>30</v>
      </c>
      <c r="Q6" s="15" t="s">
        <v>31</v>
      </c>
      <c r="R6" s="15" t="s">
        <v>32</v>
      </c>
      <c r="S6" s="15" t="s">
        <v>34</v>
      </c>
      <c r="T6" s="15" t="s">
        <v>35</v>
      </c>
      <c r="U6" s="15" t="s">
        <v>36</v>
      </c>
      <c r="V6" s="15" t="s">
        <v>37</v>
      </c>
      <c r="W6" s="15" t="s">
        <v>38</v>
      </c>
      <c r="X6" s="15" t="s">
        <v>39</v>
      </c>
      <c r="Y6" s="15" t="s">
        <v>40</v>
      </c>
      <c r="Z6" s="15" t="s">
        <v>41</v>
      </c>
      <c r="AA6" s="15" t="s">
        <v>42</v>
      </c>
      <c r="AB6" s="15" t="s">
        <v>43</v>
      </c>
      <c r="AC6" s="15" t="s">
        <v>44</v>
      </c>
      <c r="AD6" s="15" t="s">
        <v>45</v>
      </c>
      <c r="AE6" s="15" t="s">
        <v>46</v>
      </c>
      <c r="AF6" s="15" t="s">
        <v>47</v>
      </c>
      <c r="AG6" s="15" t="s">
        <v>48</v>
      </c>
      <c r="AH6" s="16" t="s">
        <v>50</v>
      </c>
    </row>
    <row r="7" spans="2:34" ht="30" customHeight="1" x14ac:dyDescent="0.2">
      <c r="B7" s="22" t="s">
        <v>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8">
        <f>COUNTA(December[[#This Row],[1]:[31]])</f>
        <v>0</v>
      </c>
    </row>
    <row r="8" spans="2:34" ht="30" customHeight="1" x14ac:dyDescent="0.2">
      <c r="B8" s="22" t="s">
        <v>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8">
        <f>COUNTA(December[[#This Row],[1]:[31]])</f>
        <v>0</v>
      </c>
    </row>
    <row r="9" spans="2:34" ht="30" customHeight="1" x14ac:dyDescent="0.2">
      <c r="B9" s="22" t="s">
        <v>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8">
        <f>COUNTA(December[[#This Row],[1]:[31]])</f>
        <v>0</v>
      </c>
    </row>
    <row r="10" spans="2:34" ht="30" customHeight="1" x14ac:dyDescent="0.2">
      <c r="B10" s="22" t="s">
        <v>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8">
        <f>COUNTA(December[[#This Row],[1]:[31]])</f>
        <v>0</v>
      </c>
    </row>
    <row r="11" spans="2:34" ht="30" customHeight="1" x14ac:dyDescent="0.2">
      <c r="B11" s="22" t="s">
        <v>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8">
        <f>COUNTA(December[[#This Row],[1]:[31]])</f>
        <v>0</v>
      </c>
    </row>
    <row r="12" spans="2:34" ht="30" customHeight="1" x14ac:dyDescent="0.2">
      <c r="B12" s="19" t="str">
        <f>MonthName&amp;" Total"</f>
        <v>December Total</v>
      </c>
      <c r="C12" s="20">
        <f>SUBTOTAL(103,December[1])</f>
        <v>0</v>
      </c>
      <c r="D12" s="20">
        <f>SUBTOTAL(103,December[2])</f>
        <v>0</v>
      </c>
      <c r="E12" s="20">
        <f>SUBTOTAL(103,December[3])</f>
        <v>0</v>
      </c>
      <c r="F12" s="20">
        <f>SUBTOTAL(103,December[4])</f>
        <v>0</v>
      </c>
      <c r="G12" s="20">
        <f>SUBTOTAL(103,December[5])</f>
        <v>0</v>
      </c>
      <c r="H12" s="20">
        <f>SUBTOTAL(103,December[6])</f>
        <v>0</v>
      </c>
      <c r="I12" s="20">
        <f>SUBTOTAL(103,December[7])</f>
        <v>0</v>
      </c>
      <c r="J12" s="20">
        <f>SUBTOTAL(103,December[8])</f>
        <v>0</v>
      </c>
      <c r="K12" s="20">
        <f>SUBTOTAL(103,December[9])</f>
        <v>0</v>
      </c>
      <c r="L12" s="20">
        <f>SUBTOTAL(103,December[10])</f>
        <v>0</v>
      </c>
      <c r="M12" s="20">
        <f>SUBTOTAL(103,December[11])</f>
        <v>0</v>
      </c>
      <c r="N12" s="20">
        <f>SUBTOTAL(103,December[12])</f>
        <v>0</v>
      </c>
      <c r="O12" s="20">
        <f>SUBTOTAL(103,December[13])</f>
        <v>0</v>
      </c>
      <c r="P12" s="20">
        <f>SUBTOTAL(103,December[14])</f>
        <v>0</v>
      </c>
      <c r="Q12" s="20">
        <f>SUBTOTAL(103,December[15])</f>
        <v>0</v>
      </c>
      <c r="R12" s="20">
        <f>SUBTOTAL(103,December[16])</f>
        <v>0</v>
      </c>
      <c r="S12" s="20">
        <f>SUBTOTAL(103,December[17])</f>
        <v>0</v>
      </c>
      <c r="T12" s="20">
        <f>SUBTOTAL(103,December[18])</f>
        <v>0</v>
      </c>
      <c r="U12" s="20">
        <f>SUBTOTAL(103,December[19])</f>
        <v>0</v>
      </c>
      <c r="V12" s="20">
        <f>SUBTOTAL(103,December[20])</f>
        <v>0</v>
      </c>
      <c r="W12" s="20">
        <f>SUBTOTAL(103,December[21])</f>
        <v>0</v>
      </c>
      <c r="X12" s="20">
        <f>SUBTOTAL(103,December[22])</f>
        <v>0</v>
      </c>
      <c r="Y12" s="20">
        <f>SUBTOTAL(103,December[23])</f>
        <v>0</v>
      </c>
      <c r="Z12" s="20">
        <f>SUBTOTAL(103,December[24])</f>
        <v>0</v>
      </c>
      <c r="AA12" s="20">
        <f>SUBTOTAL(103,December[25])</f>
        <v>0</v>
      </c>
      <c r="AB12" s="20">
        <f>SUBTOTAL(103,December[26])</f>
        <v>0</v>
      </c>
      <c r="AC12" s="20">
        <f>SUBTOTAL(103,December[27])</f>
        <v>0</v>
      </c>
      <c r="AD12" s="20">
        <f>SUBTOTAL(103,December[28])</f>
        <v>0</v>
      </c>
      <c r="AE12" s="20">
        <f>SUBTOTAL(103,December[29])</f>
        <v>0</v>
      </c>
      <c r="AF12" s="20">
        <f>SUBTOTAL(109,December[30])</f>
        <v>0</v>
      </c>
      <c r="AG12" s="20">
        <f>SUBTOTAL(109,December[31])</f>
        <v>0</v>
      </c>
      <c r="AH12" s="20">
        <f>SUBTOTAL(109,December[Total Days])</f>
        <v>0</v>
      </c>
    </row>
  </sheetData>
  <mergeCells count="6">
    <mergeCell ref="C4:AG4"/>
    <mergeCell ref="D2:F2"/>
    <mergeCell ref="H2:J2"/>
    <mergeCell ref="L2:M2"/>
    <mergeCell ref="O2:Q2"/>
    <mergeCell ref="S2:U2"/>
  </mergeCells>
  <conditionalFormatting sqref="C7:AG11">
    <cfRule type="expression" priority="1" stopIfTrue="1">
      <formula>C7=""</formula>
    </cfRule>
  </conditionalFormatting>
  <conditionalFormatting sqref="C7:AG11">
    <cfRule type="expression" dxfId="76" priority="2" stopIfTrue="1">
      <formula>C7=KeyCustom2</formula>
    </cfRule>
    <cfRule type="expression" dxfId="75" priority="3" stopIfTrue="1">
      <formula>C7=KeyCustom1</formula>
    </cfRule>
    <cfRule type="expression" dxfId="74" priority="4" stopIfTrue="1">
      <formula>C7=KeySick</formula>
    </cfRule>
    <cfRule type="expression" dxfId="73" priority="5" stopIfTrue="1">
      <formula>C7=KeyPersonal</formula>
    </cfRule>
    <cfRule type="expression" dxfId="72" priority="6" stopIfTrue="1">
      <formula>C7=KeyHoliday</formula>
    </cfRule>
  </conditionalFormatting>
  <conditionalFormatting sqref="AH7:AH11">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4">
    <dataValidation allowBlank="1" showInputMessage="1" showErrorMessage="1" prompt="Automatically updated year based on year entered in January worksheet" sqref="AH4" xr:uid="{00000000-0002-0000-0B00-000000000000}"/>
    <dataValidation allowBlank="1" showInputMessage="1" showErrorMessage="1" prompt="Automatically calculates total number of days an employee was absent this month in this column" sqref="AH6" xr:uid="{00000000-0002-0000-0B00-000001000000}"/>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B00-000003000000}"/>
    <dataValidation allowBlank="1" showInputMessage="1" showErrorMessage="1" prompt="Automatically updated title is in this cell. To modify the title, update B1 on January worksheet" sqref="B1" xr:uid="{00000000-0002-0000-0B00-000004000000}"/>
    <dataValidation allowBlank="1" showInputMessage="1" showErrorMessage="1" prompt="The letter &quot;H&quot; indicates absence due to holiday" sqref="C2" xr:uid="{00000000-0002-0000-0B00-000005000000}"/>
    <dataValidation allowBlank="1" showInputMessage="1" showErrorMessage="1" prompt="The letter &quot;P&quot; indicates absence due to personal reasons" sqref="G2" xr:uid="{00000000-0002-0000-0B00-000006000000}"/>
    <dataValidation allowBlank="1" showInputMessage="1" showErrorMessage="1" prompt="The letter &quot;S&quot; indicates absence due to illness" sqref="K2" xr:uid="{00000000-0002-0000-0B00-000007000000}"/>
    <dataValidation allowBlank="1" showInputMessage="1" showErrorMessage="1" prompt="Enter a letter and customise the label to the right to add another key item" sqref="N2 R2" xr:uid="{00000000-0002-0000-0B00-000008000000}"/>
    <dataValidation allowBlank="1" showInputMessage="1" showErrorMessage="1" prompt="Enter a label to describe the custom key to the left" sqref="O2:Q2 S2:U2" xr:uid="{00000000-0002-0000-0B00-000009000000}"/>
    <dataValidation allowBlank="1" showInputMessage="1" showErrorMessage="1" prompt="This row defines the keys used in the table: cell C2 is Holiday, G2 is Personal &amp; K2 is Sick leave. Cells N2 &amp; R2 are customisable " sqref="B2" xr:uid="{00000000-0002-0000-0B00-00000A000000}"/>
    <dataValidation allowBlank="1" showInputMessage="1" showErrorMessage="1" prompt="Month name for this absence schedule is in this cell. Absence totals for this month are in last cell of the table. Select employee names in table column B" sqref="B4" xr:uid="{00000000-0002-0000-0B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B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B00-00000D000000}"/>
  </dataValidations>
  <printOptions horizontalCentered="1"/>
  <pageMargins left="0.25" right="0.25" top="0.75" bottom="0.75" header="0.3" footer="0.3"/>
  <pageSetup paperSize="9"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'Employee Names'!$B$4:$B$8</xm:f>
          </x14:formula1>
          <xm:sqref>B7:B11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B8"/>
  <sheetViews>
    <sheetView showGridLines="0" workbookViewId="0">
      <selection activeCell="B1" sqref="B1"/>
    </sheetView>
  </sheetViews>
  <sheetFormatPr baseColWidth="10" defaultColWidth="8.83203125" defaultRowHeight="30" customHeight="1" x14ac:dyDescent="0.2"/>
  <cols>
    <col min="1" max="1" width="2.6640625" style="4" customWidth="1"/>
    <col min="2" max="2" width="30.6640625" style="4" customWidth="1"/>
    <col min="3" max="3" width="2.6640625" style="4" customWidth="1"/>
    <col min="4" max="16384" width="8.83203125" style="4"/>
  </cols>
  <sheetData>
    <row r="1" spans="2:2" ht="50" customHeight="1" x14ac:dyDescent="0.2">
      <c r="B1" s="24" t="s">
        <v>64</v>
      </c>
    </row>
    <row r="2" spans="2:2" ht="15" customHeight="1" x14ac:dyDescent="0.2"/>
    <row r="3" spans="2:2" ht="30" customHeight="1" x14ac:dyDescent="0.2">
      <c r="B3" s="4" t="s">
        <v>64</v>
      </c>
    </row>
    <row r="4" spans="2:2" ht="30" customHeight="1" x14ac:dyDescent="0.2">
      <c r="B4" s="23" t="s">
        <v>4</v>
      </c>
    </row>
    <row r="5" spans="2:2" ht="30" customHeight="1" x14ac:dyDescent="0.2">
      <c r="B5" s="23" t="s">
        <v>5</v>
      </c>
    </row>
    <row r="6" spans="2:2" ht="30" customHeight="1" x14ac:dyDescent="0.2">
      <c r="B6" s="23" t="s">
        <v>6</v>
      </c>
    </row>
    <row r="7" spans="2:2" ht="30" customHeight="1" x14ac:dyDescent="0.2">
      <c r="B7" s="23" t="s">
        <v>7</v>
      </c>
    </row>
    <row r="8" spans="2:2" ht="30" customHeight="1" x14ac:dyDescent="0.2">
      <c r="B8" s="23" t="s">
        <v>8</v>
      </c>
    </row>
  </sheetData>
  <dataValidations count="3">
    <dataValidation allowBlank="1" showInputMessage="1" showErrorMessage="1" prompt="Employee names title" sqref="B1" xr:uid="{00000000-0002-0000-0C00-000000000000}"/>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50</vt:i4>
      </vt:variant>
    </vt:vector>
  </HeadingPairs>
  <TitlesOfParts>
    <vt:vector size="63" baseType="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lpstr>CalendarYear</vt:lpstr>
      <vt:lpstr>ColumnTitle13</vt:lpstr>
      <vt:lpstr>Employee_Absence_Title</vt:lpstr>
      <vt:lpstr>Key_name</vt:lpstr>
      <vt:lpstr>KeyCustom1</vt:lpstr>
      <vt:lpstr>KeyCustom1Label</vt:lpstr>
      <vt:lpstr>KeyCustom2</vt:lpstr>
      <vt:lpstr>KeyCustom2Label</vt:lpstr>
      <vt:lpstr>KeyHoliday</vt:lpstr>
      <vt:lpstr>KeyHolidayLabel</vt:lpstr>
      <vt:lpstr>KeyPersonal</vt:lpstr>
      <vt:lpstr>KeyPersonalLabel</vt:lpstr>
      <vt:lpstr>KeySick</vt:lpstr>
      <vt:lpstr>KeySickLabel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lpstr>Title1</vt:lpstr>
      <vt:lpstr>Title10</vt:lpstr>
      <vt:lpstr>Title11</vt:lpstr>
      <vt:lpstr>Title12</vt:lpstr>
      <vt:lpstr>Title2</vt:lpstr>
      <vt:lpstr>Title3</vt:lpstr>
      <vt:lpstr>Title4</vt:lpstr>
      <vt:lpstr>Title5</vt:lpstr>
      <vt:lpstr>Title6</vt:lpstr>
      <vt:lpstr>Title7</vt:lpstr>
      <vt:lpstr>Title8</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Microsoft Office User</cp:lastModifiedBy>
  <dcterms:created xsi:type="dcterms:W3CDTF">2016-12-06T04:52:27Z</dcterms:created>
  <dcterms:modified xsi:type="dcterms:W3CDTF">2022-04-04T13:54:08Z</dcterms:modified>
</cp:coreProperties>
</file>